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 tabRatio="950" firstSheet="7" activeTab="7"/>
  </bookViews>
  <sheets>
    <sheet name="北辰" sheetId="15" state="hidden" r:id="rId1"/>
    <sheet name="林职院" sheetId="12" state="hidden" r:id="rId2"/>
    <sheet name="云大" sheetId="10" state="hidden" r:id="rId3"/>
    <sheet name="安宁" sheetId="8" state="hidden" r:id="rId4"/>
    <sheet name="呈贡" sheetId="6" state="hidden" r:id="rId5"/>
    <sheet name="学府" sheetId="4" state="hidden" r:id="rId6"/>
    <sheet name="莲华" sheetId="1" state="hidden" r:id="rId7"/>
    <sheet name="大理党校" sheetId="1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Windows 用户</author>
    <author>Administrator</author>
  </authors>
  <commentList>
    <comment ref="C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肉款</t>
        </r>
      </text>
    </comment>
    <comment ref="C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管理人员和基层员工工资4-11月</t>
        </r>
      </text>
    </comment>
    <comment ref="G15" authorId="1">
      <text>
        <r>
          <rPr>
            <sz val="9"/>
            <color indexed="0"/>
            <rFont val="Times New Roman"/>
            <charset val="134"/>
          </rPr>
          <t xml:space="preserve">7*2200=15400，会务3个、餐厅服务4个
3*2000=6000，保洁2个、餐厅服务1个
1*1700，保洁1个
2*2100=4200，维修1个、餐厅服务1个
1*2300=2300，黄晓春
4*2800=11200，切配2个、维修2个
厨师谭辉波1*4500
厨师高绍春5000
全勤19*30=570
</t>
        </r>
      </text>
    </comment>
    <comment ref="H15" authorId="1">
      <text>
        <r>
          <rPr>
            <sz val="9"/>
            <color indexed="0"/>
            <rFont val="Times New Roman"/>
            <charset val="134"/>
          </rPr>
          <t>6*2200=13200，会务3个、餐厅服务3个
3*2000=6000，保洁2个、餐厅服务1个
1*1700，保洁1个
2*2100=4200，维修1个、餐厅服务1个
1*2300=2300，黄晓春
4*2800=11200，切配2个、维修2个
厨师谭辉波4500
厨师何锡安1*5000+5000/30*3天=5500
厨师高绍春1*5000/30*24=4000
全勤18*30=540</t>
        </r>
      </text>
    </comment>
    <comment ref="I15" authorId="1">
      <text>
        <r>
          <rPr>
            <sz val="9"/>
            <color indexed="0"/>
            <rFont val="Times New Roman"/>
            <charset val="134"/>
          </rPr>
          <t>6*2200=13200，会务3个、餐厅服务3个
1*2200/30*12天=880，新招会务1个
1*2000/30*10=467，新招服务1个
3*2000=6000，保洁2个、餐厅服务1个
1*1800，保洁1个
2*2100=4200，维修1个、餐厅服务1个
1*2300=2300，黄晓春
4*2800=11200，切配2个，维修2个
新招切配1*2240/30*16天=1195
新招切配1*2240/30*10天=747
厨师4500
厨师1*5000
全勤19*30=570
考核19*150=2850</t>
        </r>
      </text>
    </comment>
    <comment ref="J15" authorId="1">
      <text>
        <r>
          <rPr>
            <sz val="9"/>
            <color indexed="0"/>
            <rFont val="Times New Roman"/>
            <charset val="134"/>
          </rPr>
          <t>5*2200=11000，会务3个、餐厅服务2个
4*2000=8000，保洁2个、餐厅服务2个
1*1800，保洁1个
2*2100=4200，维修1个、餐厅服务1个
1*2300=2300，黄晓春
2*2800=5600，维修2个
新招切配1*2240=2240
新招切配1*2240=2240
厨师5000
厨师长1*5000
全勤19*30=570
工龄7*80=560
考核19*150=2850</t>
        </r>
      </text>
    </comment>
    <comment ref="K15" authorId="1">
      <text>
        <r>
          <rPr>
            <sz val="9"/>
            <color indexed="0"/>
            <rFont val="Times New Roman"/>
            <charset val="134"/>
          </rPr>
          <t>5*2200=11000，会务3个、餐厅服务2个
3*2000=6000，保洁2个、餐厅服务1个
1*1800，保洁1个
2*2100=4200，维修1个、餐厅服务1个
1*2300=2300，黄晓春
2*2800=5600，维修2个
2*2800=5600，切配2个
厨师5000
厨师长1*5000
全勤18*30=540
工龄9*80=720
考核18*150=2700</t>
        </r>
      </text>
    </comment>
    <comment ref="L15" authorId="1">
      <text>
        <r>
          <rPr>
            <sz val="9"/>
            <color indexed="0"/>
            <rFont val="Times New Roman"/>
            <charset val="134"/>
          </rPr>
          <t>5*2200=11000，会务3个、餐厅服务2个
3*2000=6000，保洁2个、餐厅服务1个
1*1800，保洁1个
2*2100=4200，维修1个、餐厅服务1个
1*2300=2300，黄晓春
2*2800=5600，维修2个
2*2800=5600，切配2个
厨师5000
厨师长1*5000
全勤18*30=540
工龄9*80=720
考核18*150=2700</t>
        </r>
      </text>
    </comment>
    <comment ref="M15" authorId="1">
      <text>
        <r>
          <rPr>
            <sz val="9"/>
            <color indexed="0"/>
            <rFont val="Times New Roman"/>
            <charset val="134"/>
          </rPr>
          <t>5*2200=11000，会务3个、餐厅服务2个
3*2000=6000，保洁2个、餐厅服务1个
1*1800，保洁1个
2*2100=4200，维修1个、餐厅服务1个
1*2300=2300，黄晓春
2*2800=5600，维修2个
2*2800=5600，切配2个
厨师5000
厨师长1*5000
全勤18*30=540
工龄9*80=720
考核18*150=2700</t>
        </r>
      </text>
    </comment>
    <comment ref="N15" authorId="1">
      <text>
        <r>
          <rPr>
            <sz val="9"/>
            <color indexed="0"/>
            <rFont val="Times New Roman"/>
            <charset val="134"/>
          </rPr>
          <t>5*2200=11000，会务3个、餐厅服务2个
3*2000=6000，保洁2个、餐厅服务1个
1*1800，保洁1个
2*2100=4200，维修1个、餐厅服务1个
1*2300=2300，黄晓春
2*2800=5600，维修2个
2*2800=5600，切配2个
厨师5000
厨师长1*5000
全勤18*30=540
工龄10*80=800
考核18*150=2700</t>
        </r>
      </text>
    </comment>
    <comment ref="O15" authorId="1">
      <text>
        <r>
          <rPr>
            <sz val="9"/>
            <color indexed="0"/>
            <rFont val="Times New Roman"/>
            <charset val="134"/>
          </rPr>
          <t>5*2200=11000，会务3个、餐厅服务2个
3*2000=6000，保洁2个、餐厅服务1个
1*1800，保洁1个
2*2100=4200，维修1个、餐厅服务1个
1*2300=2300，黄晓春
2*2800=5600，维修2个
2*2800=5600，切配2个
厨师5000
厨师长1*5000
全勤18*30=540
工龄11*80=880
考核18*150=2700</t>
        </r>
      </text>
    </comment>
    <comment ref="P15" authorId="1">
      <text>
        <r>
          <rPr>
            <sz val="9"/>
            <color indexed="0"/>
            <rFont val="Times New Roman"/>
            <charset val="134"/>
          </rPr>
          <t>5*2200=11000，会务3个、餐厅服务2个
3*2000=6000，保洁2个、餐厅服务1个
1*1800，保洁1个
2*2100=4200，维修1个、餐厅服务1个
1*2300=2300，黄晓春
2*2800=5600，维修2个
2*2800=5600，切配2个
厨师5000
厨师长1*5000
全勤18*30=540
工龄11*80=880
考核18*150=2700</t>
        </r>
      </text>
    </comment>
    <comment ref="Q15" authorId="1">
      <text>
        <r>
          <rPr>
            <sz val="9"/>
            <color indexed="0"/>
            <rFont val="Times New Roman"/>
            <charset val="134"/>
          </rPr>
          <t>5*2200=11000，会务3个、餐厅服务3个
3*2000=6000，保洁2个、餐厅服务1个
1*1800，保洁1个
2*2100=4200，维修1个、餐厅服务1个
1*2300=2300，黄晓春
2*2800=5600，维修2个
2*2800=5600，切配2个
厨师5000
厨师长1*5000
全勤18*30=540
工龄13*80=1040
考核18*150=2700</t>
        </r>
      </text>
    </comment>
    <comment ref="R15" authorId="1">
      <text>
        <r>
          <rPr>
            <sz val="9"/>
            <color indexed="0"/>
            <rFont val="Times New Roman"/>
            <charset val="134"/>
          </rPr>
          <t xml:space="preserve">5*2200=11000，会务3个、餐厅服务2个
3*2000=6000，保洁2个、餐厅服务1个
1*1800，保洁1个
2*2100=4200，维修1个、餐厅服务1个
1*2300=2300，黄晓春
2*2800=5600，维修2个
2*2800=5600，切配2个
厨师5000
厨师长1*5000
全勤18*30=540
工龄14*80=1120
考核18*150=2700
</t>
        </r>
      </text>
    </comment>
    <comment ref="C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社保44449.16元</t>
        </r>
      </text>
    </comment>
    <comment ref="D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社保6872.53元</t>
        </r>
      </text>
    </comment>
    <comment ref="G16" authorId="1">
      <text>
        <r>
          <rPr>
            <sz val="9"/>
            <color indexed="0"/>
            <rFont val="Times New Roman"/>
            <charset val="134"/>
          </rPr>
          <t>陈云华、赵建华、李兰、黄晓春、谭辉波、杨云6*1133.61=6801.66</t>
        </r>
      </text>
    </comment>
    <comment ref="H16" authorId="1">
      <text>
        <r>
          <rPr>
            <sz val="9"/>
            <color indexed="0"/>
            <rFont val="Times New Roman"/>
            <charset val="134"/>
          </rPr>
          <t>陈云华、赵建华、李兰、黄晓春、谭辉波、杨云6*1133.61=6801.66
19*270=5130元春节过节费及米</t>
        </r>
      </text>
    </comment>
    <comment ref="I16" authorId="1">
      <text>
        <r>
          <rPr>
            <sz val="9"/>
            <color indexed="0"/>
            <rFont val="Times New Roman"/>
            <charset val="134"/>
          </rPr>
          <t>陈云华、赵建华、李兰、黄晓春、谭辉波、杨云6*1133.61=6801.66
13*50=650三八节</t>
        </r>
      </text>
    </comment>
    <comment ref="J16" authorId="1">
      <text>
        <r>
          <rPr>
            <sz val="9"/>
            <color indexed="0"/>
            <rFont val="Times New Roman"/>
            <charset val="134"/>
          </rPr>
          <t>陈云华、赵建华、李兰、黄晓春、谭辉波、杨云6*1133.61=6801.66</t>
        </r>
      </text>
    </comment>
    <comment ref="K16" authorId="1">
      <text>
        <r>
          <rPr>
            <sz val="9"/>
            <color indexed="0"/>
            <rFont val="Times New Roman"/>
            <charset val="134"/>
          </rPr>
          <t>陈云华、赵建华、李兰、黄晓春、杨云5*1133.61=5668.05</t>
        </r>
      </text>
    </comment>
    <comment ref="L16" authorId="1">
      <text>
        <r>
          <rPr>
            <sz val="9"/>
            <color indexed="0"/>
            <rFont val="Times New Roman"/>
            <charset val="134"/>
          </rPr>
          <t>陈云华、赵建华、李兰、黄晓春、杨云5*1133.61=5668.05
端午节18*30=540</t>
        </r>
      </text>
    </comment>
    <comment ref="M16" authorId="1">
      <text>
        <r>
          <rPr>
            <sz val="9"/>
            <color indexed="0"/>
            <rFont val="Times New Roman"/>
            <charset val="134"/>
          </rPr>
          <t>陈云华、赵建华、李兰、黄晓春、杨云5*1133.61=5668.05</t>
        </r>
      </text>
    </comment>
    <comment ref="N16" authorId="1">
      <text>
        <r>
          <rPr>
            <sz val="9"/>
            <color indexed="0"/>
            <rFont val="Times New Roman"/>
            <charset val="134"/>
          </rPr>
          <t>陈云华、赵建华、李兰、黄晓春、杨云5*1133.61=5668.05</t>
        </r>
      </text>
    </comment>
    <comment ref="O16" authorId="1">
      <text>
        <r>
          <rPr>
            <sz val="9"/>
            <color indexed="0"/>
            <rFont val="Times New Roman"/>
            <charset val="134"/>
          </rPr>
          <t>陈云华、赵建华、李兰、黄晓春、杨云5*1133.61=5668.05
中秋节18*160=2880</t>
        </r>
      </text>
    </comment>
    <comment ref="P16" authorId="1">
      <text>
        <r>
          <rPr>
            <sz val="9"/>
            <color indexed="0"/>
            <rFont val="Times New Roman"/>
            <charset val="134"/>
          </rPr>
          <t xml:space="preserve">陈云华、赵建华、李兰、黄晓春、杨云5*1133.61=5668.05
护手霜18*10=180
</t>
        </r>
      </text>
    </comment>
    <comment ref="Q16" authorId="1">
      <text>
        <r>
          <rPr>
            <sz val="9"/>
            <color indexed="0"/>
            <rFont val="Times New Roman"/>
            <charset val="134"/>
          </rPr>
          <t>陈云华、赵建华、李兰、黄晓春、杨云5*1133.61=5668.05</t>
        </r>
      </text>
    </comment>
    <comment ref="R16" authorId="1">
      <text>
        <r>
          <rPr>
            <sz val="9"/>
            <color indexed="0"/>
            <rFont val="Times New Roman"/>
            <charset val="134"/>
          </rPr>
          <t>陈云华、赵建华、李兰、黄晓春、杨云5*1133.61=5668.05</t>
        </r>
      </text>
    </comment>
    <comment ref="F17" authorId="2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卫生间用纸：</t>
        </r>
        <r>
          <rPr>
            <sz val="9"/>
            <rFont val="Tahoma"/>
            <charset val="134"/>
          </rPr>
          <t>9.5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卷</t>
        </r>
        <r>
          <rPr>
            <sz val="9"/>
            <rFont val="Tahoma"/>
            <charset val="134"/>
          </rPr>
          <t>*90</t>
        </r>
        <r>
          <rPr>
            <sz val="9"/>
            <rFont val="宋体"/>
            <charset val="134"/>
          </rPr>
          <t>卷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*12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=10260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保洁材料及物资：</t>
        </r>
        <r>
          <rPr>
            <sz val="9"/>
            <rFont val="Tahoma"/>
            <charset val="134"/>
          </rPr>
          <t>500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F21" authorId="2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纸杯每月</t>
        </r>
        <r>
          <rPr>
            <sz val="9"/>
            <rFont val="Tahoma"/>
            <charset val="134"/>
          </rPr>
          <t>100</t>
        </r>
        <r>
          <rPr>
            <sz val="9"/>
            <rFont val="宋体"/>
            <charset val="134"/>
          </rPr>
          <t>元
茶叶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月份开始每月</t>
        </r>
        <r>
          <rPr>
            <sz val="9"/>
            <rFont val="Tahoma"/>
            <charset val="134"/>
          </rPr>
          <t>160</t>
        </r>
        <r>
          <rPr>
            <sz val="9"/>
            <rFont val="宋体"/>
            <charset val="134"/>
          </rPr>
          <t>元
每季度考核会议差点费</t>
        </r>
        <r>
          <rPr>
            <sz val="9"/>
            <rFont val="Tahoma"/>
            <charset val="134"/>
          </rPr>
          <t>100</t>
        </r>
        <r>
          <rPr>
            <sz val="9"/>
            <rFont val="宋体"/>
            <charset val="134"/>
          </rPr>
          <t>元</t>
        </r>
      </text>
    </comment>
    <comment ref="F22" authorId="2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食堂抽纸：</t>
        </r>
        <r>
          <rPr>
            <sz val="9"/>
            <rFont val="Tahoma"/>
            <charset val="134"/>
          </rPr>
          <t>1.45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包</t>
        </r>
        <r>
          <rPr>
            <sz val="9"/>
            <rFont val="Tahoma"/>
            <charset val="134"/>
          </rPr>
          <t>*200</t>
        </r>
        <r>
          <rPr>
            <sz val="9"/>
            <rFont val="宋体"/>
            <charset val="134"/>
          </rPr>
          <t>包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*12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=3480</t>
        </r>
        <r>
          <rPr>
            <sz val="9"/>
            <rFont val="宋体"/>
            <charset val="134"/>
          </rPr>
          <t>元
食堂劳保物资：</t>
        </r>
        <r>
          <rPr>
            <sz val="9"/>
            <rFont val="Tahoma"/>
            <charset val="134"/>
          </rPr>
          <t>50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人</t>
        </r>
        <r>
          <rPr>
            <sz val="9"/>
            <rFont val="Tahoma"/>
            <charset val="134"/>
          </rPr>
          <t>.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*11</t>
        </r>
        <r>
          <rPr>
            <sz val="9"/>
            <rFont val="宋体"/>
            <charset val="134"/>
          </rPr>
          <t>人</t>
        </r>
        <r>
          <rPr>
            <sz val="9"/>
            <rFont val="Tahoma"/>
            <charset val="134"/>
          </rPr>
          <t>*12=6600</t>
        </r>
        <r>
          <rPr>
            <sz val="9"/>
            <rFont val="宋体"/>
            <charset val="134"/>
          </rPr>
          <t>元</t>
        </r>
      </text>
    </comment>
    <comment ref="G31" authorId="1">
      <text>
        <r>
          <rPr>
            <sz val="9"/>
            <color indexed="0"/>
            <rFont val="Times New Roman"/>
            <charset val="134"/>
          </rPr>
          <t>张庆华1*4100
钱周芬1*3500
郑钱香1*2800</t>
        </r>
      </text>
    </comment>
    <comment ref="H31" authorId="1">
      <text>
        <r>
          <rPr>
            <sz val="9"/>
            <color indexed="0"/>
            <rFont val="Times New Roman"/>
            <charset val="134"/>
          </rPr>
          <t>张庆华1*4500
郑钱香1*2800</t>
        </r>
      </text>
    </comment>
    <comment ref="I31" authorId="1">
      <text>
        <r>
          <rPr>
            <sz val="9"/>
            <color indexed="0"/>
            <rFont val="Times New Roman"/>
            <charset val="134"/>
          </rPr>
          <t xml:space="preserve">张庆华1*4500+考核500
郑钱香1*2800+考核200
</t>
        </r>
      </text>
    </comment>
    <comment ref="G32" authorId="1">
      <text>
        <r>
          <rPr>
            <sz val="9"/>
            <color indexed="0"/>
            <rFont val="Times New Roman"/>
            <charset val="134"/>
          </rPr>
          <t>张庆华、钱周芬2*1133.61</t>
        </r>
      </text>
    </comment>
    <comment ref="H32" authorId="1">
      <text>
        <r>
          <rPr>
            <sz val="9"/>
            <color indexed="0"/>
            <rFont val="Times New Roman"/>
            <charset val="134"/>
          </rPr>
          <t>张庆华1*1133.61</t>
        </r>
      </text>
    </comment>
    <comment ref="I32" authorId="1">
      <text>
        <r>
          <rPr>
            <sz val="9"/>
            <color indexed="0"/>
            <rFont val="Times New Roman"/>
            <charset val="134"/>
          </rPr>
          <t>张庆华1*1133.61</t>
        </r>
      </text>
    </comment>
    <comment ref="J32" authorId="1">
      <text>
        <r>
          <rPr>
            <sz val="9"/>
            <color indexed="0"/>
            <rFont val="Times New Roman"/>
            <charset val="134"/>
          </rPr>
          <t>张庆华、郑钱香2*1133.61</t>
        </r>
      </text>
    </comment>
    <comment ref="K32" authorId="1">
      <text>
        <r>
          <rPr>
            <sz val="9"/>
            <color indexed="0"/>
            <rFont val="Times New Roman"/>
            <charset val="134"/>
          </rPr>
          <t>张庆华、郑钱香2*1133.61</t>
        </r>
      </text>
    </comment>
    <comment ref="H33" authorId="1">
      <text>
        <r>
          <rPr>
            <sz val="9"/>
            <color indexed="0"/>
            <rFont val="Times New Roman"/>
            <charset val="134"/>
          </rPr>
          <t>2*270=540元春节过节费及米</t>
        </r>
      </text>
    </comment>
    <comment ref="I33" authorId="1">
      <text>
        <r>
          <rPr>
            <sz val="9"/>
            <color indexed="0"/>
            <rFont val="Times New Roman"/>
            <charset val="134"/>
          </rPr>
          <t>三八节1*50元</t>
        </r>
      </text>
    </comment>
    <comment ref="L33" authorId="1">
      <text>
        <r>
          <rPr>
            <sz val="9"/>
            <color indexed="0"/>
            <rFont val="Times New Roman"/>
            <charset val="134"/>
          </rPr>
          <t>端午节2*30</t>
        </r>
      </text>
    </comment>
    <comment ref="O33" authorId="1">
      <text>
        <r>
          <rPr>
            <sz val="9"/>
            <color indexed="0"/>
            <rFont val="Times New Roman"/>
            <charset val="134"/>
          </rPr>
          <t>中秋节2*160=320</t>
        </r>
      </text>
    </comment>
    <comment ref="P33" authorId="1">
      <text>
        <r>
          <rPr>
            <sz val="9"/>
            <color indexed="0"/>
            <rFont val="Times New Roman"/>
            <charset val="134"/>
          </rPr>
          <t>护手霜2*10</t>
        </r>
      </text>
    </comment>
    <comment ref="F49" authorId="2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春节请客送礼、中秋节送礼，三八节慰问送礼、端午节请客</t>
        </r>
      </text>
    </comment>
    <comment ref="F50" authorId="2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办地铁卡，员工到总部办事</t>
        </r>
      </text>
    </comment>
    <comment ref="F51" authorId="2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厨师服：</t>
        </r>
        <r>
          <rPr>
            <sz val="9"/>
            <rFont val="Tahoma"/>
            <charset val="134"/>
          </rPr>
          <t>80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套</t>
        </r>
        <r>
          <rPr>
            <sz val="9"/>
            <rFont val="Tahoma"/>
            <charset val="134"/>
          </rPr>
          <t>*8</t>
        </r>
        <r>
          <rPr>
            <sz val="9"/>
            <rFont val="宋体"/>
            <charset val="134"/>
          </rPr>
          <t>套</t>
        </r>
        <r>
          <rPr>
            <sz val="9"/>
            <rFont val="Tahoma"/>
            <charset val="134"/>
          </rPr>
          <t>=640</t>
        </r>
        <r>
          <rPr>
            <sz val="9"/>
            <rFont val="宋体"/>
            <charset val="134"/>
          </rPr>
          <t>元
服务员服装：</t>
        </r>
        <r>
          <rPr>
            <sz val="9"/>
            <rFont val="Tahoma"/>
            <charset val="134"/>
          </rPr>
          <t>150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套</t>
        </r>
        <r>
          <rPr>
            <sz val="9"/>
            <rFont val="Tahoma"/>
            <charset val="134"/>
          </rPr>
          <t>*14</t>
        </r>
        <r>
          <rPr>
            <sz val="9"/>
            <rFont val="宋体"/>
            <charset val="134"/>
          </rPr>
          <t>套</t>
        </r>
        <r>
          <rPr>
            <sz val="9"/>
            <rFont val="Tahoma"/>
            <charset val="134"/>
          </rPr>
          <t>=2100</t>
        </r>
        <r>
          <rPr>
            <sz val="9"/>
            <rFont val="宋体"/>
            <charset val="134"/>
          </rPr>
          <t>元
保洁服：</t>
        </r>
        <r>
          <rPr>
            <sz val="9"/>
            <rFont val="Tahoma"/>
            <charset val="134"/>
          </rPr>
          <t>150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套</t>
        </r>
        <r>
          <rPr>
            <sz val="9"/>
            <rFont val="Tahoma"/>
            <charset val="134"/>
          </rPr>
          <t>*3</t>
        </r>
        <r>
          <rPr>
            <sz val="9"/>
            <rFont val="宋体"/>
            <charset val="134"/>
          </rPr>
          <t>套</t>
        </r>
        <r>
          <rPr>
            <sz val="9"/>
            <rFont val="Tahoma"/>
            <charset val="134"/>
          </rPr>
          <t>=450</t>
        </r>
        <r>
          <rPr>
            <sz val="9"/>
            <rFont val="宋体"/>
            <charset val="134"/>
          </rPr>
          <t>元
维修服：</t>
        </r>
        <r>
          <rPr>
            <sz val="9"/>
            <rFont val="Tahoma"/>
            <charset val="134"/>
          </rPr>
          <t>300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套</t>
        </r>
        <r>
          <rPr>
            <sz val="9"/>
            <rFont val="Tahoma"/>
            <charset val="134"/>
          </rPr>
          <t>*3</t>
        </r>
        <r>
          <rPr>
            <sz val="9"/>
            <rFont val="宋体"/>
            <charset val="134"/>
          </rPr>
          <t>套</t>
        </r>
        <r>
          <rPr>
            <sz val="9"/>
            <rFont val="Tahoma"/>
            <charset val="134"/>
          </rPr>
          <t>=450</t>
        </r>
        <r>
          <rPr>
            <sz val="9"/>
            <rFont val="宋体"/>
            <charset val="134"/>
          </rPr>
          <t>元
会议及管理人员服：</t>
        </r>
        <r>
          <rPr>
            <sz val="9"/>
            <rFont val="Tahoma"/>
            <charset val="134"/>
          </rPr>
          <t>1200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套</t>
        </r>
        <r>
          <rPr>
            <sz val="9"/>
            <rFont val="Tahoma"/>
            <charset val="134"/>
          </rPr>
          <t>*7</t>
        </r>
        <r>
          <rPr>
            <sz val="9"/>
            <rFont val="宋体"/>
            <charset val="134"/>
          </rPr>
          <t>套</t>
        </r>
        <r>
          <rPr>
            <sz val="9"/>
            <rFont val="Tahoma"/>
            <charset val="134"/>
          </rPr>
          <t>=8400</t>
        </r>
        <r>
          <rPr>
            <sz val="9"/>
            <rFont val="宋体"/>
            <charset val="134"/>
          </rPr>
          <t>元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Administrator</author>
  </authors>
  <commentList>
    <comment ref="C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管理人员和基层员工工资6-11月</t>
        </r>
      </text>
    </comment>
    <comment ref="G15" authorId="1">
      <text>
        <r>
          <rPr>
            <sz val="9"/>
            <color indexed="0"/>
            <rFont val="Times New Roman"/>
            <charset val="134"/>
          </rPr>
          <t>1*2814宿管1个
1*2699宿管1个
1*2676宿管1个
1*2624宿管1个
2*2582=5164宿管2个
3*2300=6900宿管3个
8*1800=14400宿管5个+宿舍保洁3个
19*1570=29830宿舍保洁2个+绿化3个+室外保洁14个
1*1830宿舍保洁1个
1*1850宿舍保洁1个
3*2800=8400维修员3个
1*1720绿化领班1个
1*1870绿化+保洁1个
1*2635教室管理员1个
1*2483教室管理员1个</t>
        </r>
      </text>
    </comment>
    <comment ref="H15" authorId="1">
      <text>
        <r>
          <rPr>
            <sz val="9"/>
            <color indexed="0"/>
            <rFont val="Times New Roman"/>
            <charset val="134"/>
          </rPr>
          <t>1*2814宿管1个
1*2699宿管1个
1*2676宿管1个
1*2624宿管1个
2*2582=5164宿管2个
3*2300=6900宿管3个
8*1800=14400宿管5个+宿舍保洁3个
19*1570=29830宿舍保洁2个+绿化3个+室外保洁14个
1*1830宿舍保洁1个
1*1850宿舍保洁1个
3*2800=8400维修员3个
1*1720绿化领班1个
1*1870绿化+保洁1个
1*2635教室管理员1个
1*2483教室管理员1个</t>
        </r>
      </text>
    </comment>
    <comment ref="I15" authorId="1">
      <text>
        <r>
          <rPr>
            <sz val="9"/>
            <color indexed="0"/>
            <rFont val="Times New Roman"/>
            <charset val="134"/>
          </rPr>
          <t>1*2814宿管1个
1*2699宿管1个
1*2676宿管1个
1*2624宿管1个
2*2582=5164宿管2个
3*2300=6900宿管3个
9*1800=16200宿管5个+宿舍保洁4个
19*1570=29830宿舍保洁2个+绿化3个+室外保洁14个
1*1830宿舍保洁1个
1*1850宿舍保洁1个
3*2800=8400维修员3个
1*1720绿化领班1个
1*1870绿化+保洁1个
1*2635教室管理员1个
1*2483教室管理员1个
1*1800教室管理员1个</t>
        </r>
      </text>
    </comment>
    <comment ref="J15" authorId="1">
      <text>
        <r>
          <rPr>
            <sz val="9"/>
            <color indexed="0"/>
            <rFont val="Times New Roman"/>
            <charset val="134"/>
          </rPr>
          <t>1*2814宿管1个
1*2699宿管1个
1*2676宿管1个
1*2624宿管1个
2*2582=5164宿管2个
3*2300=6900宿管3个
9*1800=16200宿管5个+宿舍保洁4个
19*1570=29830宿舍保洁2个+绿化3个+室外保洁14个
1*1830宿舍保洁1个
1*1850宿舍保洁1个
3*2800=8400维修员3个
1*1720绿化领班1个
1*1870绿化+保洁1个
1*2635教室管理员1个
1*2483教室管理员1个
1*1800教室管理员1个
2*1800新招宿管2个
2*1570新招宿舍保洁2个</t>
        </r>
      </text>
    </comment>
    <comment ref="K15" authorId="1">
      <text>
        <r>
          <rPr>
            <sz val="9"/>
            <color indexed="0"/>
            <rFont val="Times New Roman"/>
            <charset val="134"/>
          </rPr>
          <t>1*2814宿管1个
1*2699宿管1个
1*2676宿管1个
1*2624宿管1个
2*2582=5164宿管2个
3*2300=6900宿管3个
9*1800=16200宿管5个+宿舍保洁4个
19*1570=29830宿舍保洁2个+绿化3个+室外保洁14个
1*1830宿舍保洁1个
1*1850宿舍保洁1个
3*2800=8400维修员3个
1*1720绿化领班1个
1*1870绿化+保洁1个
1*2635教室管理员1个
1*2483教室管理员1个
1*1800教室管理员1个
2*1800新招宿管2个
2*1570新招宿舍保洁2个</t>
        </r>
      </text>
    </comment>
    <comment ref="L15" authorId="1">
      <text>
        <r>
          <rPr>
            <sz val="9"/>
            <color indexed="0"/>
            <rFont val="Times New Roman"/>
            <charset val="134"/>
          </rPr>
          <t>1*2814宿管1个
1*2699宿管1个
1*2676宿管1个
1*2624宿管1个
2*2582=5164宿管2个
3*2300=6900宿管3个
9*1800=16200宿管5个+宿舍保洁4个
19*1570=29830宿舍保洁2个+绿化3个+室外保洁14个
1*1830宿舍保洁1个
1*1850宿舍保洁1个
3*2800=8400维修员3个
1*1720绿化领班1个
1*1870绿化+保洁1个
1*2635教室管理员1个
1*2483教室管理员1个
1*1800教室管理员1个
2*1800新招宿管2个
2*1570新招宿舍保洁2个</t>
        </r>
      </text>
    </comment>
    <comment ref="G16" authorId="1">
      <text>
        <r>
          <rPr>
            <sz val="9"/>
            <color indexed="0"/>
            <rFont val="Times New Roman"/>
            <charset val="134"/>
          </rPr>
          <t>保险8*1133.61元=9068.88元</t>
        </r>
      </text>
    </comment>
    <comment ref="H16" authorId="1">
      <text>
        <r>
          <rPr>
            <sz val="9"/>
            <color indexed="0"/>
            <rFont val="Times New Roman"/>
            <charset val="134"/>
          </rPr>
          <t>保险8*1133.61元=9068.88元
春节45*270=12150元</t>
        </r>
      </text>
    </comment>
    <comment ref="I16" authorId="1">
      <text>
        <r>
          <rPr>
            <sz val="9"/>
            <color indexed="0"/>
            <rFont val="Times New Roman"/>
            <charset val="134"/>
          </rPr>
          <t>保险8*1133.61元=9068.88元
三八节38*50=1900元</t>
        </r>
      </text>
    </comment>
    <comment ref="J16" authorId="1">
      <text>
        <r>
          <rPr>
            <sz val="9"/>
            <color indexed="0"/>
            <rFont val="Times New Roman"/>
            <charset val="134"/>
          </rPr>
          <t xml:space="preserve">保险8*1133.61元=9068.88元
</t>
        </r>
      </text>
    </comment>
    <comment ref="K16" authorId="1">
      <text>
        <r>
          <rPr>
            <sz val="9"/>
            <color indexed="0"/>
            <rFont val="Times New Roman"/>
            <charset val="134"/>
          </rPr>
          <t xml:space="preserve">保险8*1133.61元=9068.88元
</t>
        </r>
      </text>
    </comment>
    <comment ref="L16" authorId="1">
      <text>
        <r>
          <rPr>
            <sz val="9"/>
            <color indexed="0"/>
            <rFont val="Times New Roman"/>
            <charset val="134"/>
          </rPr>
          <t>保险8*1133.61元=9068.88元
端午节51*30=1530元</t>
        </r>
      </text>
    </comment>
    <comment ref="M16" authorId="1">
      <text>
        <r>
          <rPr>
            <sz val="9"/>
            <color indexed="0"/>
            <rFont val="Times New Roman"/>
            <charset val="134"/>
          </rPr>
          <t xml:space="preserve">保险8*1133.61元=9068.88元
</t>
        </r>
      </text>
    </comment>
    <comment ref="N16" authorId="1">
      <text>
        <r>
          <rPr>
            <sz val="9"/>
            <color indexed="0"/>
            <rFont val="Times New Roman"/>
            <charset val="134"/>
          </rPr>
          <t xml:space="preserve">保险8*1133.61元=9068.88元
</t>
        </r>
      </text>
    </comment>
    <comment ref="O16" authorId="1">
      <text>
        <r>
          <rPr>
            <b/>
            <sz val="9"/>
            <color indexed="0"/>
            <rFont val="Times New Roman"/>
            <charset val="134"/>
          </rPr>
          <t>保险8*1133.61元=9068.88元
中秋节51*160=8160元</t>
        </r>
      </text>
    </comment>
    <comment ref="P16" authorId="1">
      <text>
        <r>
          <rPr>
            <sz val="9"/>
            <color indexed="0"/>
            <rFont val="Times New Roman"/>
            <charset val="134"/>
          </rPr>
          <t>保险8*1133.61元=9068.88元
护手霜51*10=510元</t>
        </r>
      </text>
    </comment>
    <comment ref="Q16" authorId="1">
      <text>
        <r>
          <rPr>
            <sz val="9"/>
            <color indexed="0"/>
            <rFont val="Times New Roman"/>
            <charset val="134"/>
          </rPr>
          <t xml:space="preserve">保险8*1133.61元=9068.88元
</t>
        </r>
      </text>
    </comment>
    <comment ref="R16" authorId="1">
      <text>
        <r>
          <rPr>
            <sz val="9"/>
            <color indexed="0"/>
            <rFont val="Times New Roman"/>
            <charset val="134"/>
          </rPr>
          <t>保险8*1133.61元=9068.88元</t>
        </r>
      </text>
    </comment>
    <comment ref="G31" authorId="1">
      <text>
        <r>
          <rPr>
            <sz val="9"/>
            <color indexed="0"/>
            <rFont val="宋体"/>
            <charset val="134"/>
          </rPr>
          <t>刘安平</t>
        </r>
        <r>
          <rPr>
            <sz val="9"/>
            <color indexed="0"/>
            <rFont val="Times New Roman"/>
            <charset val="134"/>
          </rPr>
          <t>2800</t>
        </r>
        <r>
          <rPr>
            <sz val="9"/>
            <color indexed="0"/>
            <rFont val="宋体"/>
            <charset val="134"/>
          </rPr>
          <t xml:space="preserve">元
</t>
        </r>
      </text>
    </comment>
    <comment ref="H31" authorId="1">
      <text>
        <r>
          <rPr>
            <sz val="9"/>
            <color indexed="0"/>
            <rFont val="宋体"/>
            <charset val="134"/>
          </rPr>
          <t>刘安平</t>
        </r>
        <r>
          <rPr>
            <sz val="9"/>
            <color indexed="0"/>
            <rFont val="Times New Roman"/>
            <charset val="134"/>
          </rPr>
          <t>2800</t>
        </r>
        <r>
          <rPr>
            <sz val="9"/>
            <color indexed="0"/>
            <rFont val="宋体"/>
            <charset val="134"/>
          </rPr>
          <t>元</t>
        </r>
        <r>
          <rPr>
            <sz val="9"/>
            <color indexed="0"/>
            <rFont val="Times New Roman"/>
            <charset val="134"/>
          </rPr>
          <t>+</t>
        </r>
        <r>
          <rPr>
            <sz val="9"/>
            <color indexed="0"/>
            <rFont val="宋体"/>
            <charset val="134"/>
          </rPr>
          <t>钱周芬</t>
        </r>
        <r>
          <rPr>
            <sz val="9"/>
            <color indexed="0"/>
            <rFont val="Times New Roman"/>
            <charset val="134"/>
          </rPr>
          <t>4000</t>
        </r>
        <r>
          <rPr>
            <sz val="9"/>
            <color indexed="0"/>
            <rFont val="宋体"/>
            <charset val="134"/>
          </rPr>
          <t>元（试用期）</t>
        </r>
      </text>
    </comment>
    <comment ref="I31" authorId="1">
      <text>
        <r>
          <rPr>
            <sz val="9"/>
            <color indexed="0"/>
            <rFont val="宋体"/>
            <charset val="134"/>
          </rPr>
          <t>刘安平</t>
        </r>
        <r>
          <rPr>
            <sz val="9"/>
            <color indexed="0"/>
            <rFont val="Times New Roman"/>
            <charset val="134"/>
          </rPr>
          <t>2800</t>
        </r>
        <r>
          <rPr>
            <sz val="9"/>
            <color indexed="0"/>
            <rFont val="宋体"/>
            <charset val="134"/>
          </rPr>
          <t>元</t>
        </r>
        <r>
          <rPr>
            <sz val="9"/>
            <color indexed="0"/>
            <rFont val="Times New Roman"/>
            <charset val="134"/>
          </rPr>
          <t>+</t>
        </r>
        <r>
          <rPr>
            <sz val="9"/>
            <color indexed="0"/>
            <rFont val="宋体"/>
            <charset val="134"/>
          </rPr>
          <t>钱周芬</t>
        </r>
        <r>
          <rPr>
            <sz val="9"/>
            <color indexed="0"/>
            <rFont val="Times New Roman"/>
            <charset val="134"/>
          </rPr>
          <t>4000</t>
        </r>
        <r>
          <rPr>
            <sz val="9"/>
            <color indexed="0"/>
            <rFont val="宋体"/>
            <charset val="134"/>
          </rPr>
          <t>元（试用期）</t>
        </r>
        <r>
          <rPr>
            <sz val="9"/>
            <color indexed="0"/>
            <rFont val="Times New Roman"/>
            <charset val="134"/>
          </rPr>
          <t>+</t>
        </r>
        <r>
          <rPr>
            <sz val="9"/>
            <color indexed="0"/>
            <rFont val="宋体"/>
            <charset val="134"/>
          </rPr>
          <t>试用期助理</t>
        </r>
        <r>
          <rPr>
            <sz val="9"/>
            <color indexed="0"/>
            <rFont val="Times New Roman"/>
            <charset val="134"/>
          </rPr>
          <t>583</t>
        </r>
        <r>
          <rPr>
            <sz val="9"/>
            <color indexed="0"/>
            <rFont val="宋体"/>
            <charset val="134"/>
          </rPr>
          <t>元</t>
        </r>
        <r>
          <rPr>
            <sz val="9"/>
            <color indexed="0"/>
            <rFont val="Times New Roman"/>
            <charset val="134"/>
          </rPr>
          <t>+</t>
        </r>
        <r>
          <rPr>
            <sz val="9"/>
            <color indexed="0"/>
            <rFont val="宋体"/>
            <charset val="134"/>
          </rPr>
          <t>刘安平考核</t>
        </r>
        <r>
          <rPr>
            <sz val="9"/>
            <color indexed="0"/>
            <rFont val="Times New Roman"/>
            <charset val="134"/>
          </rPr>
          <t>200</t>
        </r>
        <r>
          <rPr>
            <sz val="9"/>
            <color indexed="0"/>
            <rFont val="宋体"/>
            <charset val="134"/>
          </rPr>
          <t>元</t>
        </r>
        <r>
          <rPr>
            <sz val="9"/>
            <color indexed="0"/>
            <rFont val="Times New Roman"/>
            <charset val="134"/>
          </rPr>
          <t>+</t>
        </r>
        <r>
          <rPr>
            <sz val="9"/>
            <color indexed="0"/>
            <rFont val="宋体"/>
            <charset val="134"/>
          </rPr>
          <t>钱周芬考核</t>
        </r>
        <r>
          <rPr>
            <sz val="9"/>
            <color indexed="0"/>
            <rFont val="Times New Roman"/>
            <charset val="134"/>
          </rPr>
          <t>500</t>
        </r>
        <r>
          <rPr>
            <sz val="9"/>
            <color indexed="0"/>
            <rFont val="宋体"/>
            <charset val="134"/>
          </rPr>
          <t>元</t>
        </r>
      </text>
    </comment>
    <comment ref="J31" authorId="1">
      <text>
        <r>
          <rPr>
            <sz val="9"/>
            <color indexed="0"/>
            <rFont val="Times New Roman"/>
            <charset val="134"/>
          </rPr>
          <t>刘安平2800元+钱周芬4000元（试用期）+试用期助理2500元+刘安平考核200元+钱周芬考核500元</t>
        </r>
      </text>
    </comment>
    <comment ref="K31" authorId="1">
      <text>
        <r>
          <rPr>
            <sz val="9"/>
            <color indexed="0"/>
            <rFont val="Times New Roman"/>
            <charset val="134"/>
          </rPr>
          <t>刘安平2800元+钱周芬4500元（转正）+试用期助理2500元+刘安平考核200元+钱周芬考核500元</t>
        </r>
      </text>
    </comment>
    <comment ref="L31" authorId="1">
      <text>
        <r>
          <rPr>
            <sz val="9"/>
            <color indexed="0"/>
            <rFont val="Times New Roman"/>
            <charset val="134"/>
          </rPr>
          <t>刘安平2800元+钱周芬4500元（转正）+试用期助理2500元+刘安平考核200元+钱周芬考核500元</t>
        </r>
      </text>
    </comment>
    <comment ref="M31" authorId="1">
      <text>
        <r>
          <rPr>
            <sz val="9"/>
            <color indexed="0"/>
            <rFont val="Times New Roman"/>
            <charset val="134"/>
          </rPr>
          <t>刘安平2800元+钱周芬4500元（转正）+助理2800元（转正）+刘安平考核200元+钱周芬考核500元+助理考核200元</t>
        </r>
      </text>
    </comment>
    <comment ref="N31" authorId="1">
      <text>
        <r>
          <rPr>
            <sz val="9"/>
            <color indexed="0"/>
            <rFont val="Times New Roman"/>
            <charset val="134"/>
          </rPr>
          <t>刘安平2800元+钱周芬4500元（转正）+助理2800元（转正）+刘安平考核200元+钱周芬考核500元+助理考核200元</t>
        </r>
      </text>
    </comment>
    <comment ref="O31" authorId="1">
      <text>
        <r>
          <rPr>
            <sz val="9"/>
            <color indexed="0"/>
            <rFont val="Times New Roman"/>
            <charset val="134"/>
          </rPr>
          <t>刘安平2800元+钱周芬4500元（转正）+助理2800元（转正）+刘安平考核200元+钱周芬考核500元+助理考核200元</t>
        </r>
      </text>
    </comment>
    <comment ref="P31" authorId="1">
      <text>
        <r>
          <rPr>
            <sz val="9"/>
            <color indexed="0"/>
            <rFont val="Times New Roman"/>
            <charset val="134"/>
          </rPr>
          <t>刘安平2800元+钱周芬4500元（转正）+助理2800元（转正）+刘安平考核200元+钱周芬考核500元+助理考核200元</t>
        </r>
      </text>
    </comment>
    <comment ref="Q31" authorId="1">
      <text>
        <r>
          <rPr>
            <sz val="9"/>
            <color indexed="0"/>
            <rFont val="Times New Roman"/>
            <charset val="134"/>
          </rPr>
          <t>刘安平2800元+钱周芬4500元（转正）+助理2800元（转正）+刘安平考核200元+钱周芬考核500元+助理考核200元</t>
        </r>
      </text>
    </comment>
    <comment ref="R31" authorId="1">
      <text>
        <r>
          <rPr>
            <sz val="9"/>
            <color indexed="0"/>
            <rFont val="Times New Roman"/>
            <charset val="134"/>
          </rPr>
          <t>刘安平2800元+钱周芬4500元（转正）+助理2800元（转正）+刘安平考核200元+钱周芬考核500元+助理考核200元</t>
        </r>
      </text>
    </comment>
    <comment ref="G32" authorId="1">
      <text>
        <r>
          <rPr>
            <sz val="9"/>
            <color indexed="0"/>
            <rFont val="Times New Roman"/>
            <charset val="134"/>
          </rPr>
          <t>钱周芬保险1133.61元</t>
        </r>
      </text>
    </comment>
    <comment ref="H32" authorId="1">
      <text>
        <r>
          <rPr>
            <sz val="9"/>
            <color indexed="0"/>
            <rFont val="Times New Roman"/>
            <charset val="134"/>
          </rPr>
          <t>钱周芬保险1133.61元</t>
        </r>
      </text>
    </comment>
    <comment ref="I32" authorId="1">
      <text>
        <r>
          <rPr>
            <sz val="9"/>
            <color indexed="0"/>
            <rFont val="Times New Roman"/>
            <charset val="134"/>
          </rPr>
          <t>钱周芬保险1133.61元</t>
        </r>
      </text>
    </comment>
    <comment ref="J32" authorId="1">
      <text>
        <r>
          <rPr>
            <sz val="9"/>
            <color indexed="0"/>
            <rFont val="Times New Roman"/>
            <charset val="134"/>
          </rPr>
          <t>钱周芬保险1133.61元+刘安平保险1133.61元</t>
        </r>
      </text>
    </comment>
    <comment ref="K32" authorId="1">
      <text>
        <r>
          <rPr>
            <sz val="9"/>
            <color indexed="0"/>
            <rFont val="Times New Roman"/>
            <charset val="134"/>
          </rPr>
          <t>钱周芬保险1133.61元+刘安平保险1133.61元</t>
        </r>
      </text>
    </comment>
    <comment ref="L32" authorId="1">
      <text>
        <r>
          <rPr>
            <sz val="9"/>
            <color indexed="0"/>
            <rFont val="Times New Roman"/>
            <charset val="134"/>
          </rPr>
          <t>钱周芬保险1133.61元+刘安平保险1133.61元</t>
        </r>
      </text>
    </comment>
    <comment ref="M32" authorId="1">
      <text>
        <r>
          <rPr>
            <sz val="9"/>
            <color indexed="0"/>
            <rFont val="Times New Roman"/>
            <charset val="134"/>
          </rPr>
          <t>钱周芬保险1133.61元+刘安平保险1133.61元+新助理保险1133.61元</t>
        </r>
      </text>
    </comment>
    <comment ref="N32" authorId="1">
      <text>
        <r>
          <rPr>
            <sz val="9"/>
            <color indexed="0"/>
            <rFont val="Times New Roman"/>
            <charset val="134"/>
          </rPr>
          <t>钱周芬保险1133.61元+刘安平保险1133.61元+新助理保险1133.61元</t>
        </r>
      </text>
    </comment>
    <comment ref="O32" authorId="1">
      <text>
        <r>
          <rPr>
            <sz val="9"/>
            <color indexed="0"/>
            <rFont val="Times New Roman"/>
            <charset val="134"/>
          </rPr>
          <t>钱周芬保险1133.61元+刘安平保险1133.61元+新助理保险1133.61元</t>
        </r>
      </text>
    </comment>
    <comment ref="P32" authorId="1">
      <text>
        <r>
          <rPr>
            <sz val="9"/>
            <color indexed="0"/>
            <rFont val="Times New Roman"/>
            <charset val="134"/>
          </rPr>
          <t>钱周芬保险1133.61元+刘安平保险1133.61元+新助理保险1133.61元</t>
        </r>
      </text>
    </comment>
    <comment ref="Q32" authorId="1">
      <text>
        <r>
          <rPr>
            <sz val="9"/>
            <color indexed="0"/>
            <rFont val="Times New Roman"/>
            <charset val="134"/>
          </rPr>
          <t>钱周芬保险1133.61元+刘安平保险1133.61元+新助理保险1133.61元</t>
        </r>
      </text>
    </comment>
    <comment ref="R32" authorId="1">
      <text>
        <r>
          <rPr>
            <sz val="9"/>
            <color indexed="0"/>
            <rFont val="Times New Roman"/>
            <charset val="134"/>
          </rPr>
          <t>钱周芬保险1133.61元+刘安平保险1133.61元+新助理保险1133.61元</t>
        </r>
      </text>
    </comment>
    <comment ref="H33" authorId="1">
      <text>
        <r>
          <rPr>
            <sz val="9"/>
            <color indexed="0"/>
            <rFont val="Times New Roman"/>
            <charset val="134"/>
          </rPr>
          <t>钱周芬春节270元+刘安平270元</t>
        </r>
      </text>
    </comment>
    <comment ref="I33" authorId="1">
      <text>
        <r>
          <rPr>
            <sz val="9"/>
            <color indexed="0"/>
            <rFont val="Times New Roman"/>
            <charset val="134"/>
          </rPr>
          <t>三八节50元</t>
        </r>
      </text>
    </comment>
    <comment ref="L33" authorId="1">
      <text>
        <r>
          <rPr>
            <sz val="9"/>
            <color indexed="0"/>
            <rFont val="Times New Roman"/>
            <charset val="134"/>
          </rPr>
          <t>端午节3*30=90元</t>
        </r>
      </text>
    </comment>
    <comment ref="O33" authorId="1">
      <text>
        <r>
          <rPr>
            <sz val="9"/>
            <color indexed="0"/>
            <rFont val="Times New Roman"/>
            <charset val="134"/>
          </rPr>
          <t>中秋节3人*160元=480元</t>
        </r>
      </text>
    </comment>
    <comment ref="P33" authorId="1">
      <text>
        <r>
          <rPr>
            <sz val="9"/>
            <color indexed="0"/>
            <rFont val="Times New Roman"/>
            <charset val="134"/>
          </rPr>
          <t>护手霜3人*10元=30元</t>
        </r>
      </text>
    </comment>
    <comment ref="F49" authorId="1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与校方联谊活动、中秋节吃饭送礼</t>
        </r>
      </text>
    </comment>
    <comment ref="F50" authorId="1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办地铁卡，员工到总部办事</t>
        </r>
      </text>
    </comment>
    <comment ref="F51" authorId="1">
      <text>
        <r>
          <rPr>
            <sz val="9"/>
            <color indexed="0"/>
            <rFont val="Times New Roman"/>
            <charset val="134"/>
          </rPr>
          <t xml:space="preserve">宿管员及教室管理员服装，维修服，事物助理及主任服装师服
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XZJD</author>
    <author>User</author>
    <author>Administrator</author>
  </authors>
  <commentList>
    <comment ref="C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管理人员和基层员工工资</t>
        </r>
      </text>
    </comment>
    <comment ref="G15" authorId="1">
      <text>
        <r>
          <rPr>
            <b/>
            <sz val="9"/>
            <rFont val="Tahoma"/>
            <charset val="134"/>
          </rPr>
          <t>XZJD:</t>
        </r>
        <r>
          <rPr>
            <sz val="9"/>
            <rFont val="Tahoma"/>
            <charset val="134"/>
          </rPr>
          <t xml:space="preserve">
1</t>
        </r>
        <r>
          <rPr>
            <sz val="9"/>
            <rFont val="宋体"/>
            <charset val="134"/>
          </rPr>
          <t>月少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个</t>
        </r>
        <r>
          <rPr>
            <sz val="9"/>
            <rFont val="Tahoma"/>
            <charset val="134"/>
          </rPr>
          <t>1700</t>
        </r>
        <r>
          <rPr>
            <sz val="9"/>
            <rFont val="宋体"/>
            <charset val="134"/>
          </rPr>
          <t>元的保洁，保洁假休</t>
        </r>
        <r>
          <rPr>
            <sz val="9"/>
            <rFont val="Tahoma"/>
            <charset val="134"/>
          </rPr>
          <t xml:space="preserve">15*5*25=1875
</t>
        </r>
        <r>
          <rPr>
            <sz val="9"/>
            <rFont val="宋体"/>
            <charset val="134"/>
          </rPr>
          <t>维修假休</t>
        </r>
        <r>
          <rPr>
            <sz val="9"/>
            <rFont val="Tahoma"/>
            <charset val="134"/>
          </rPr>
          <t xml:space="preserve">6*5*46.67=1400.1      </t>
        </r>
        <r>
          <rPr>
            <sz val="9"/>
            <rFont val="宋体"/>
            <charset val="134"/>
          </rPr>
          <t>垃圾清运</t>
        </r>
        <r>
          <rPr>
            <sz val="9"/>
            <rFont val="Tahoma"/>
            <charset val="134"/>
          </rPr>
          <t xml:space="preserve">6*75=450    </t>
        </r>
      </text>
    </comment>
    <comment ref="H15" authorId="1">
      <text>
        <r>
          <rPr>
            <b/>
            <sz val="9"/>
            <rFont val="Tahoma"/>
            <charset val="134"/>
          </rPr>
          <t>XZJD:</t>
        </r>
        <r>
          <rPr>
            <sz val="9"/>
            <rFont val="Tahoma"/>
            <charset val="134"/>
          </rPr>
          <t xml:space="preserve">
2</t>
        </r>
        <r>
          <rPr>
            <sz val="9"/>
            <rFont val="宋体"/>
            <charset val="134"/>
          </rPr>
          <t>月少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个</t>
        </r>
        <r>
          <rPr>
            <sz val="9"/>
            <rFont val="Tahoma"/>
            <charset val="134"/>
          </rPr>
          <t>1700</t>
        </r>
        <r>
          <rPr>
            <sz val="9"/>
            <rFont val="宋体"/>
            <charset val="134"/>
          </rPr>
          <t>元的保洁，保洁假休</t>
        </r>
        <r>
          <rPr>
            <sz val="9"/>
            <rFont val="Tahoma"/>
            <charset val="134"/>
          </rPr>
          <t xml:space="preserve">15*5*25=1875
</t>
        </r>
        <r>
          <rPr>
            <sz val="9"/>
            <rFont val="宋体"/>
            <charset val="134"/>
          </rPr>
          <t>维修假休</t>
        </r>
        <r>
          <rPr>
            <sz val="9"/>
            <rFont val="Tahoma"/>
            <charset val="134"/>
          </rPr>
          <t xml:space="preserve">6*10*46.67=2800.2     </t>
        </r>
        <r>
          <rPr>
            <sz val="9"/>
            <rFont val="宋体"/>
            <charset val="134"/>
          </rPr>
          <t>垃圾清运</t>
        </r>
        <r>
          <rPr>
            <sz val="9"/>
            <rFont val="Tahoma"/>
            <charset val="134"/>
          </rPr>
          <t>9*75=675</t>
        </r>
      </text>
    </comment>
    <comment ref="N15" authorId="1">
      <text>
        <r>
          <rPr>
            <b/>
            <sz val="9"/>
            <rFont val="Tahoma"/>
            <charset val="134"/>
          </rPr>
          <t>XZJD: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保洁假休</t>
        </r>
        <r>
          <rPr>
            <sz val="9"/>
            <rFont val="Tahoma"/>
            <charset val="134"/>
          </rPr>
          <t xml:space="preserve">15*5*25=1875
</t>
        </r>
      </text>
    </comment>
    <comment ref="H16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春节副利270乘22人；</t>
        </r>
      </text>
    </comment>
    <comment ref="I16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妇女节15名女员工，每人50元</t>
        </r>
      </text>
    </comment>
    <comment ref="J16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维修理论考试200元</t>
        </r>
      </text>
    </comment>
    <comment ref="L16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23名员工，端午每人30元</t>
        </r>
      </text>
    </comment>
    <comment ref="N16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保洁技能竞赛奖品300</t>
        </r>
      </text>
    </comment>
    <comment ref="O16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中秋23名员工，每人160元</t>
        </r>
      </text>
    </comment>
    <comment ref="R16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维修技能竞赛200元</t>
        </r>
      </text>
    </comment>
    <comment ref="H17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高压清洗机购买</t>
        </r>
      </text>
    </comment>
    <comment ref="L17" authorId="2">
      <text>
        <r>
          <rPr>
            <b/>
            <sz val="9"/>
            <rFont val="宋体"/>
            <charset val="134"/>
          </rPr>
          <t>User:假期打扫毕业生宿舍</t>
        </r>
      </text>
    </comment>
    <comment ref="M17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毕业生宿舍打扫</t>
        </r>
      </text>
    </comment>
    <comment ref="R17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宿舍打扫</t>
        </r>
      </text>
    </comment>
    <comment ref="I18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学生开学</t>
        </r>
      </text>
    </comment>
    <comment ref="L18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学生毕业</t>
        </r>
      </text>
    </comment>
    <comment ref="M18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学生毕业</t>
        </r>
      </text>
    </comment>
    <comment ref="O18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学生开学</t>
        </r>
      </text>
    </comment>
    <comment ref="R18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学生放假</t>
        </r>
      </text>
    </comment>
    <comment ref="L21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师生座谈会</t>
        </r>
      </text>
    </comment>
    <comment ref="G31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工资加考核</t>
        </r>
      </text>
    </comment>
    <comment ref="C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陶清芬</t>
        </r>
      </text>
    </comment>
    <comment ref="G32" authorId="3">
      <text>
        <r>
          <rPr>
            <b/>
            <sz val="9"/>
            <rFont val="宋体"/>
            <charset val="134"/>
          </rPr>
          <t>保险</t>
        </r>
      </text>
    </comment>
    <comment ref="H33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春节</t>
        </r>
      </text>
    </comment>
    <comment ref="L33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端午节每人50</t>
        </r>
      </text>
    </comment>
    <comment ref="O33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中秋每人200</t>
        </r>
      </text>
    </comment>
    <comment ref="G34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三轮车轴承更换</t>
        </r>
      </text>
    </comment>
    <comment ref="J34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电瓶水更换</t>
        </r>
      </text>
    </comment>
    <comment ref="L34" authorId="2">
      <text>
        <r>
          <rPr>
            <b/>
            <sz val="9"/>
            <rFont val="宋体"/>
            <charset val="134"/>
          </rPr>
          <t>User:日常三轮车、电动车维修费用</t>
        </r>
      </text>
    </comment>
    <comment ref="N34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三轮车电瓶更换</t>
        </r>
      </text>
    </comment>
    <comment ref="C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三轮车7800元、电动车3290元</t>
        </r>
      </text>
    </comment>
    <comment ref="C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考勤机、床及床板、打印机</t>
        </r>
      </text>
    </comment>
    <comment ref="C4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宿舍水电费</t>
        </r>
      </text>
    </comment>
    <comment ref="M49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宴请校方吃饭</t>
        </r>
      </text>
    </comment>
    <comment ref="R49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宴请校方吃饭</t>
        </r>
      </text>
    </comment>
    <comment ref="H51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2个管理员服装费</t>
        </r>
      </text>
    </comment>
    <comment ref="I51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工程部人员一人再配置一套工程服</t>
        </r>
      </text>
    </comment>
  </commentList>
</comments>
</file>

<file path=xl/comments4.xml><?xml version="1.0" encoding="utf-8"?>
<comments xmlns="http://schemas.openxmlformats.org/spreadsheetml/2006/main">
  <authors>
    <author>作者</author>
    <author>Administrator</author>
  </authors>
  <commentList>
    <comment ref="C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体育器材保管费</t>
        </r>
      </text>
    </comment>
    <comment ref="C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管理人员和基层员工工资</t>
        </r>
      </text>
    </comment>
    <comment ref="G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2018年1月工龄5070元</t>
        </r>
      </text>
    </comment>
    <comment ref="C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管理人员与基层员工</t>
        </r>
      </text>
    </comment>
    <comment ref="H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春节过节费270元/人</t>
        </r>
      </text>
    </comment>
    <comment ref="C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单位承担部分；宋琪琳、舒勇琴2人</t>
        </r>
      </text>
    </comment>
    <comment ref="G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2017年五险公司承担费用985.75元/月/人，预计2018年增长15%</t>
        </r>
      </text>
    </comment>
    <comment ref="H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春节过节费270元/人</t>
        </r>
      </text>
    </comment>
    <comment ref="I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妇女节50元/人</t>
        </r>
      </text>
    </comment>
    <comment ref="J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户外拓展800元/人</t>
        </r>
      </text>
    </comment>
    <comment ref="L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端午节30元/人</t>
        </r>
      </text>
    </comment>
    <comment ref="O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中秋节160元/人</t>
        </r>
      </text>
    </comment>
    <comment ref="P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护手霜10月/人</t>
        </r>
      </text>
    </comment>
    <comment ref="G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1月份公司年会交通费1400元，日常使用车辆油款、交通费350元</t>
        </r>
      </text>
    </comment>
    <comment ref="C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3月扫地机42500元，10月清洗机6200元，均按2年摊，扫地机每月42500/24；清洗机每月6200/24</t>
        </r>
      </text>
    </comment>
    <comment ref="J5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管理人员1人配服装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C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管理人员和基层员工工资</t>
        </r>
      </text>
    </comment>
    <comment ref="G1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17</t>
        </r>
        <r>
          <rPr>
            <sz val="9"/>
            <rFont val="宋体"/>
            <charset val="134"/>
          </rPr>
          <t>人，工资</t>
        </r>
        <r>
          <rPr>
            <sz val="9"/>
            <rFont val="Tahoma"/>
            <charset val="134"/>
          </rPr>
          <t>1500</t>
        </r>
        <r>
          <rPr>
            <sz val="9"/>
            <rFont val="宋体"/>
            <charset val="134"/>
          </rPr>
          <t>元每月</t>
        </r>
      </text>
    </comment>
    <comment ref="I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工龄工资调整为</t>
        </r>
        <r>
          <rPr>
            <sz val="9"/>
            <rFont val="Tahoma"/>
            <charset val="134"/>
          </rPr>
          <t>80</t>
        </r>
        <r>
          <rPr>
            <sz val="9"/>
            <rFont val="宋体"/>
            <charset val="134"/>
          </rPr>
          <t>、</t>
        </r>
        <r>
          <rPr>
            <sz val="9"/>
            <rFont val="Tahoma"/>
            <charset val="134"/>
          </rPr>
          <t>40</t>
        </r>
        <r>
          <rPr>
            <sz val="9"/>
            <rFont val="宋体"/>
            <charset val="134"/>
          </rPr>
          <t>、</t>
        </r>
        <r>
          <rPr>
            <sz val="9"/>
            <rFont val="Tahoma"/>
            <charset val="134"/>
          </rPr>
          <t>20</t>
        </r>
        <r>
          <rPr>
            <sz val="9"/>
            <rFont val="宋体"/>
            <charset val="134"/>
          </rPr>
          <t>，</t>
        </r>
        <r>
          <rPr>
            <sz val="9"/>
            <rFont val="Tahoma"/>
            <charset val="134"/>
          </rPr>
          <t>19</t>
        </r>
        <r>
          <rPr>
            <sz val="9"/>
            <rFont val="宋体"/>
            <charset val="134"/>
          </rPr>
          <t>人</t>
        </r>
      </text>
    </comment>
    <comment ref="M1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7</t>
        </r>
        <r>
          <rPr>
            <sz val="9"/>
            <rFont val="宋体"/>
            <charset val="134"/>
          </rPr>
          <t>月起每人每月增加</t>
        </r>
        <r>
          <rPr>
            <sz val="9"/>
            <rFont val="Tahoma"/>
            <charset val="134"/>
          </rPr>
          <t>100</t>
        </r>
        <r>
          <rPr>
            <sz val="9"/>
            <rFont val="宋体"/>
            <charset val="134"/>
          </rPr>
          <t>元</t>
        </r>
      </text>
    </comment>
    <comment ref="H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17人，春节过节费270元/人</t>
        </r>
      </text>
    </comment>
    <comment ref="I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妇女节50元/人,19人</t>
        </r>
      </text>
    </comment>
    <comment ref="L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端午节30元/人,19人</t>
        </r>
      </text>
    </comment>
    <comment ref="M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保洁竞赛奖品及布标</t>
        </r>
      </text>
    </comment>
    <comment ref="O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中秋节160元/人,19人</t>
        </r>
      </text>
    </comment>
    <comment ref="P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护手霜10元/人,19人</t>
        </r>
      </text>
    </comment>
    <comment ref="G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含磨地机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台，</t>
        </r>
        <r>
          <rPr>
            <sz val="9"/>
            <rFont val="Tahoma"/>
            <charset val="134"/>
          </rPr>
          <t>1650</t>
        </r>
        <r>
          <rPr>
            <sz val="9"/>
            <rFont val="宋体"/>
            <charset val="134"/>
          </rPr>
          <t>元。</t>
        </r>
      </text>
    </comment>
    <comment ref="I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含烧水器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台</t>
        </r>
        <r>
          <rPr>
            <sz val="9"/>
            <rFont val="Tahoma"/>
            <charset val="134"/>
          </rPr>
          <t>500</t>
        </r>
        <r>
          <rPr>
            <sz val="9"/>
            <rFont val="宋体"/>
            <charset val="134"/>
          </rPr>
          <t>元</t>
        </r>
      </text>
    </comment>
    <comment ref="G3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</t>
        </r>
        <r>
          <rPr>
            <sz val="9"/>
            <rFont val="宋体"/>
            <charset val="134"/>
          </rPr>
          <t>个管理人员</t>
        </r>
      </text>
    </comment>
    <comment ref="I3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</t>
        </r>
        <r>
          <rPr>
            <sz val="9"/>
            <rFont val="宋体"/>
            <charset val="134"/>
          </rPr>
          <t>个管理人员</t>
        </r>
      </text>
    </comment>
    <comment ref="L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请产假按3000元每月计算</t>
        </r>
      </text>
    </comment>
    <comment ref="G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2017年五险公司承担985.75元/月/人，预计2018年增长15%</t>
        </r>
      </text>
    </comment>
    <comment ref="H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2017年五险公司承担985.75元/月/人，预计2018年增长15%</t>
        </r>
      </text>
    </comment>
    <comment ref="H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春节过节费270元,1人</t>
        </r>
      </text>
    </comment>
    <comment ref="I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妇女节50元/人</t>
        </r>
      </text>
    </comment>
    <comment ref="L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端午节30元/人,1人</t>
        </r>
      </text>
    </comment>
    <comment ref="O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中秋节160元/人,1人</t>
        </r>
      </text>
    </comment>
    <comment ref="P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护手霜10元/人,1人</t>
        </r>
      </text>
    </comment>
    <comment ref="K4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师生座谈会</t>
        </r>
      </text>
    </comment>
    <comment ref="J5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管理人员1人配服装</t>
        </r>
      </text>
    </comment>
  </commentList>
</comments>
</file>

<file path=xl/comments6.xml><?xml version="1.0" encoding="utf-8"?>
<comments xmlns="http://schemas.openxmlformats.org/spreadsheetml/2006/main">
  <authors>
    <author>作者</author>
    <author>Windows 用户</author>
  </authors>
  <commentList>
    <comment ref="C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代开票</t>
        </r>
      </text>
    </comment>
    <comment ref="C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管理人员和基层员工工资</t>
        </r>
      </text>
    </comment>
    <comment ref="I15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</t>
        </r>
        <r>
          <rPr>
            <sz val="9"/>
            <rFont val="宋体"/>
            <charset val="134"/>
          </rPr>
          <t>月少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个员工，</t>
        </r>
        <r>
          <rPr>
            <sz val="9"/>
            <rFont val="Tahoma"/>
            <charset val="134"/>
          </rPr>
          <t>13</t>
        </r>
        <r>
          <rPr>
            <sz val="9"/>
            <rFont val="宋体"/>
            <charset val="134"/>
          </rPr>
          <t>人，工龄工资按</t>
        </r>
        <r>
          <rPr>
            <sz val="9"/>
            <rFont val="Tahoma"/>
            <charset val="134"/>
          </rPr>
          <t>80,40</t>
        </r>
        <r>
          <rPr>
            <sz val="9"/>
            <rFont val="宋体"/>
            <charset val="134"/>
          </rPr>
          <t>、</t>
        </r>
        <r>
          <rPr>
            <sz val="9"/>
            <rFont val="Tahoma"/>
            <charset val="134"/>
          </rPr>
          <t>20</t>
        </r>
        <r>
          <rPr>
            <sz val="9"/>
            <rFont val="宋体"/>
            <charset val="134"/>
          </rPr>
          <t>发放</t>
        </r>
      </text>
    </comment>
    <comment ref="M1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7</t>
        </r>
        <r>
          <rPr>
            <sz val="9"/>
            <rFont val="宋体"/>
            <charset val="134"/>
          </rPr>
          <t>月起每人每月增加</t>
        </r>
        <r>
          <rPr>
            <sz val="9"/>
            <rFont val="Tahoma"/>
            <charset val="134"/>
          </rPr>
          <t>100</t>
        </r>
        <r>
          <rPr>
            <sz val="9"/>
            <rFont val="宋体"/>
            <charset val="134"/>
          </rPr>
          <t>元</t>
        </r>
      </text>
    </comment>
    <comment ref="H16" authorId="1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春节14个基层员工过节费270元/人</t>
        </r>
      </text>
    </comment>
    <comment ref="I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妇女节50元/人,10个女员工</t>
        </r>
      </text>
    </comment>
    <comment ref="L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端午节30元/人,13人</t>
        </r>
      </text>
    </comment>
    <comment ref="M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保洁技能竞赛</t>
        </r>
      </text>
    </comment>
    <comment ref="O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中秋节160元/人，13人</t>
        </r>
      </text>
    </comment>
    <comment ref="P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护手霜10元/人,13人</t>
        </r>
      </text>
    </comment>
    <comment ref="K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维修板车</t>
        </r>
      </text>
    </comment>
    <comment ref="O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维修板车</t>
        </r>
      </text>
    </comment>
    <comment ref="I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买农药</t>
        </r>
      </text>
    </comment>
    <comment ref="J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买皮管340，拉绿化垃圾500元</t>
        </r>
      </text>
    </comment>
    <comment ref="N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拉绿化垃圾</t>
        </r>
        <r>
          <rPr>
            <sz val="9"/>
            <rFont val="Tahoma"/>
            <charset val="134"/>
          </rPr>
          <t>500</t>
        </r>
        <r>
          <rPr>
            <sz val="9"/>
            <rFont val="宋体"/>
            <charset val="134"/>
          </rPr>
          <t>元</t>
        </r>
      </text>
    </comment>
    <comment ref="Q1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11</t>
        </r>
        <r>
          <rPr>
            <sz val="9"/>
            <rFont val="宋体"/>
            <charset val="134"/>
          </rPr>
          <t>月拉绿化垃圾</t>
        </r>
        <r>
          <rPr>
            <sz val="9"/>
            <rFont val="Tahoma"/>
            <charset val="134"/>
          </rPr>
          <t>400</t>
        </r>
        <r>
          <rPr>
            <sz val="9"/>
            <rFont val="宋体"/>
            <charset val="134"/>
          </rPr>
          <t>元</t>
        </r>
      </text>
    </comment>
    <comment ref="P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师生座谈会</t>
        </r>
      </text>
    </comment>
    <comment ref="C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徐凰铃</t>
        </r>
      </text>
    </comment>
    <comment ref="J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2017年五险公司承年增长5.75元/人，预计15%</t>
        </r>
      </text>
    </comment>
    <comment ref="H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春节费270元/人</t>
        </r>
      </text>
    </comment>
    <comment ref="I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妇女节50元/人</t>
        </r>
      </text>
    </comment>
    <comment ref="L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端午节30元/人</t>
        </r>
      </text>
    </comment>
    <comment ref="O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中秋节160元/人</t>
        </r>
      </text>
    </comment>
    <comment ref="P33" authorId="0">
      <text>
        <r>
          <rPr>
            <b/>
            <sz val="9"/>
            <rFont val="宋体"/>
            <charset val="134"/>
          </rPr>
          <t>作者:
护手霜10元</t>
        </r>
      </text>
    </comment>
    <comment ref="G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开员工大会公交费</t>
        </r>
      </text>
    </comment>
    <comment ref="M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参加体育比赛公交费</t>
        </r>
      </text>
    </comment>
    <comment ref="R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员工参加培训公交费</t>
        </r>
      </text>
    </comment>
    <comment ref="J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公司制作相关标识</t>
        </r>
        <r>
          <rPr>
            <sz val="9"/>
            <rFont val="Tahoma"/>
            <charset val="134"/>
          </rPr>
          <t>600</t>
        </r>
        <r>
          <rPr>
            <sz val="9"/>
            <rFont val="宋体"/>
            <charset val="134"/>
          </rPr>
          <t>元</t>
        </r>
      </text>
    </comment>
    <comment ref="L4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月搞一次员工活动及聚餐</t>
        </r>
      </text>
    </comment>
    <comment ref="J5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管理人员1套，每套800元
保洁服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套，每套</t>
        </r>
        <r>
          <rPr>
            <sz val="9"/>
            <rFont val="Tahoma"/>
            <charset val="134"/>
          </rPr>
          <t>95</t>
        </r>
        <r>
          <rPr>
            <sz val="9"/>
            <rFont val="宋体"/>
            <charset val="134"/>
          </rPr>
          <t>元。工程服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套，每套</t>
        </r>
        <r>
          <rPr>
            <sz val="9"/>
            <rFont val="Tahoma"/>
            <charset val="134"/>
          </rPr>
          <t>140</t>
        </r>
        <r>
          <rPr>
            <sz val="9"/>
            <rFont val="宋体"/>
            <charset val="134"/>
          </rPr>
          <t>元。</t>
        </r>
      </text>
    </comment>
  </commentList>
</comments>
</file>

<file path=xl/comments7.xml><?xml version="1.0" encoding="utf-8"?>
<comments xmlns="http://schemas.openxmlformats.org/spreadsheetml/2006/main">
  <authors>
    <author>Windows 用户</author>
    <author>作者</author>
  </authors>
  <commentList>
    <comment ref="C15" authorId="0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管理人员和基层员工工资</t>
        </r>
      </text>
    </comment>
    <comment ref="H15" authorId="1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</t>
        </r>
        <r>
          <rPr>
            <sz val="9"/>
            <rFont val="宋体"/>
            <charset val="134"/>
          </rPr>
          <t>月至</t>
        </r>
        <r>
          <rPr>
            <sz val="9"/>
            <rFont val="Tahoma"/>
            <charset val="134"/>
          </rPr>
          <t>7</t>
        </r>
        <r>
          <rPr>
            <sz val="9"/>
            <rFont val="宋体"/>
            <charset val="134"/>
          </rPr>
          <t>月少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个保洁人员工资</t>
        </r>
        <r>
          <rPr>
            <sz val="9"/>
            <rFont val="Tahoma"/>
            <charset val="134"/>
          </rPr>
          <t>1500</t>
        </r>
        <r>
          <rPr>
            <sz val="9"/>
            <rFont val="宋体"/>
            <charset val="134"/>
          </rPr>
          <t>元</t>
        </r>
      </text>
    </comment>
    <comment ref="I1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自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月起工龄工资调整为</t>
        </r>
        <r>
          <rPr>
            <sz val="9"/>
            <rFont val="Tahoma"/>
            <charset val="134"/>
          </rPr>
          <t>80</t>
        </r>
        <r>
          <rPr>
            <sz val="9"/>
            <rFont val="宋体"/>
            <charset val="134"/>
          </rPr>
          <t>、</t>
        </r>
        <r>
          <rPr>
            <sz val="9"/>
            <rFont val="Tahoma"/>
            <charset val="134"/>
          </rPr>
          <t>40</t>
        </r>
        <r>
          <rPr>
            <sz val="9"/>
            <rFont val="宋体"/>
            <charset val="134"/>
          </rPr>
          <t>、</t>
        </r>
        <r>
          <rPr>
            <sz val="9"/>
            <rFont val="Tahoma"/>
            <charset val="134"/>
          </rPr>
          <t>20</t>
        </r>
        <r>
          <rPr>
            <sz val="9"/>
            <rFont val="宋体"/>
            <charset val="134"/>
          </rPr>
          <t>元</t>
        </r>
      </text>
    </comment>
    <comment ref="M1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基层员工每月各加</t>
        </r>
        <r>
          <rPr>
            <sz val="9"/>
            <rFont val="Tahoma"/>
            <charset val="134"/>
          </rPr>
          <t>100</t>
        </r>
        <r>
          <rPr>
            <sz val="9"/>
            <rFont val="宋体"/>
            <charset val="134"/>
          </rPr>
          <t>元，本月少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名保洁人员</t>
        </r>
      </text>
    </comment>
    <comment ref="N1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全部基层员工配置到位</t>
        </r>
      </text>
    </comment>
    <comment ref="H16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春节16个基层员工过节费270元/人</t>
        </r>
      </text>
    </comment>
    <comment ref="I16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妇女节50元/人,9个女员工</t>
        </r>
      </text>
    </comment>
    <comment ref="L16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端午节30元/人,15人</t>
        </r>
      </text>
    </comment>
    <comment ref="N16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保洁竞赛奖品</t>
        </r>
        <r>
          <rPr>
            <sz val="9"/>
            <rFont val="Tahoma"/>
            <charset val="134"/>
          </rPr>
          <t>200</t>
        </r>
        <r>
          <rPr>
            <sz val="9"/>
            <rFont val="宋体"/>
            <charset val="134"/>
          </rPr>
          <t>元</t>
        </r>
      </text>
    </comment>
    <comment ref="O16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中秋节160元/人，16人</t>
        </r>
      </text>
    </comment>
    <comment ref="P16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护手霜10元/人,16人</t>
        </r>
      </text>
    </comment>
    <comment ref="R16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绿化评比</t>
        </r>
        <r>
          <rPr>
            <sz val="9"/>
            <rFont val="Tahoma"/>
            <charset val="134"/>
          </rPr>
          <t>200</t>
        </r>
        <r>
          <rPr>
            <sz val="9"/>
            <rFont val="宋体"/>
            <charset val="134"/>
          </rPr>
          <t>元</t>
        </r>
      </text>
    </comment>
    <comment ref="G18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每月增加公厕维修费</t>
        </r>
        <r>
          <rPr>
            <sz val="9"/>
            <rFont val="Tahoma"/>
            <charset val="134"/>
          </rPr>
          <t>250</t>
        </r>
        <r>
          <rPr>
            <sz val="9"/>
            <rFont val="宋体"/>
            <charset val="134"/>
          </rPr>
          <t>元</t>
        </r>
      </text>
    </comment>
    <comment ref="G19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砍大树</t>
        </r>
        <r>
          <rPr>
            <sz val="9"/>
            <rFont val="Tahoma"/>
            <charset val="134"/>
          </rPr>
          <t>3500</t>
        </r>
        <r>
          <rPr>
            <sz val="9"/>
            <rFont val="宋体"/>
            <charset val="134"/>
          </rPr>
          <t>元</t>
        </r>
      </text>
    </comment>
    <comment ref="I19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绿篱机</t>
        </r>
        <r>
          <rPr>
            <sz val="9"/>
            <rFont val="Tahoma"/>
            <charset val="134"/>
          </rPr>
          <t>1200</t>
        </r>
        <r>
          <rPr>
            <sz val="9"/>
            <rFont val="宋体"/>
            <charset val="134"/>
          </rPr>
          <t>元</t>
        </r>
      </text>
    </comment>
    <comment ref="J19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买红青城</t>
        </r>
        <r>
          <rPr>
            <sz val="9"/>
            <rFont val="Tahoma"/>
            <charset val="134"/>
          </rPr>
          <t>20</t>
        </r>
        <r>
          <rPr>
            <sz val="9"/>
            <rFont val="宋体"/>
            <charset val="134"/>
          </rPr>
          <t>棵，加运费</t>
        </r>
        <r>
          <rPr>
            <sz val="9"/>
            <rFont val="Tahoma"/>
            <charset val="134"/>
          </rPr>
          <t>3000</t>
        </r>
        <r>
          <rPr>
            <sz val="9"/>
            <rFont val="宋体"/>
            <charset val="134"/>
          </rPr>
          <t>元</t>
        </r>
      </text>
    </comment>
    <comment ref="O22" authorId="1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9</t>
        </r>
        <r>
          <rPr>
            <sz val="9"/>
            <rFont val="宋体"/>
            <charset val="134"/>
          </rPr>
          <t>月进行一次校园文化活动费用</t>
        </r>
        <r>
          <rPr>
            <sz val="9"/>
            <rFont val="Tahoma"/>
            <charset val="134"/>
          </rPr>
          <t>600</t>
        </r>
        <r>
          <rPr>
            <sz val="9"/>
            <rFont val="宋体"/>
            <charset val="134"/>
          </rPr>
          <t>元</t>
        </r>
      </text>
    </comment>
    <comment ref="G31" authorId="1">
      <text>
        <r>
          <rPr>
            <b/>
            <sz val="9"/>
            <rFont val="Tahoma"/>
            <charset val="134"/>
          </rPr>
          <t xml:space="preserve">作者:
</t>
        </r>
      </text>
    </comment>
    <comment ref="H3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考核</t>
        </r>
        <r>
          <rPr>
            <sz val="9"/>
            <rFont val="Tahoma"/>
            <charset val="134"/>
          </rPr>
          <t>200</t>
        </r>
        <r>
          <rPr>
            <sz val="9"/>
            <rFont val="宋体"/>
            <charset val="134"/>
          </rPr>
          <t>元</t>
        </r>
      </text>
    </comment>
    <comment ref="I3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自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月起工资从</t>
        </r>
        <r>
          <rPr>
            <sz val="9"/>
            <rFont val="Tahoma"/>
            <charset val="134"/>
          </rPr>
          <t>2800</t>
        </r>
        <r>
          <rPr>
            <sz val="9"/>
            <rFont val="宋体"/>
            <charset val="134"/>
          </rPr>
          <t>元调整至</t>
        </r>
        <r>
          <rPr>
            <sz val="9"/>
            <rFont val="Tahoma"/>
            <charset val="134"/>
          </rPr>
          <t>3000</t>
        </r>
        <r>
          <rPr>
            <sz val="9"/>
            <rFont val="宋体"/>
            <charset val="134"/>
          </rPr>
          <t>元。
考核</t>
        </r>
        <r>
          <rPr>
            <sz val="9"/>
            <rFont val="Tahoma"/>
            <charset val="134"/>
          </rPr>
          <t>200</t>
        </r>
        <r>
          <rPr>
            <sz val="9"/>
            <rFont val="宋体"/>
            <charset val="134"/>
          </rPr>
          <t>元</t>
        </r>
      </text>
    </comment>
    <comment ref="H33" authorId="0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春节270元</t>
        </r>
      </text>
    </comment>
    <comment ref="L33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端午3</t>
        </r>
        <r>
          <rPr>
            <sz val="9"/>
            <rFont val="Tahoma"/>
            <charset val="134"/>
          </rPr>
          <t>0</t>
        </r>
        <r>
          <rPr>
            <sz val="9"/>
            <rFont val="宋体"/>
            <charset val="134"/>
          </rPr>
          <t>元</t>
        </r>
      </text>
    </comment>
    <comment ref="O33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中秋节16</t>
        </r>
        <r>
          <rPr>
            <sz val="9"/>
            <rFont val="Tahoma"/>
            <charset val="134"/>
          </rPr>
          <t>0</t>
        </r>
        <r>
          <rPr>
            <sz val="9"/>
            <rFont val="宋体"/>
            <charset val="134"/>
          </rPr>
          <t>元</t>
        </r>
      </text>
    </comment>
    <comment ref="P33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护手霜</t>
        </r>
        <r>
          <rPr>
            <sz val="9"/>
            <rFont val="Tahoma"/>
            <charset val="134"/>
          </rPr>
          <t>10</t>
        </r>
        <r>
          <rPr>
            <sz val="9"/>
            <rFont val="宋体"/>
            <charset val="134"/>
          </rPr>
          <t>元</t>
        </r>
      </text>
    </comment>
    <comment ref="I42" authorId="1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3</t>
        </r>
        <r>
          <rPr>
            <sz val="9"/>
            <rFont val="宋体"/>
            <charset val="134"/>
          </rPr>
          <t>月份公司统一制作标识费用</t>
        </r>
        <r>
          <rPr>
            <sz val="9"/>
            <rFont val="Tahoma"/>
            <charset val="134"/>
          </rPr>
          <t>600</t>
        </r>
        <r>
          <rPr>
            <sz val="9"/>
            <rFont val="宋体"/>
            <charset val="134"/>
          </rPr>
          <t>元</t>
        </r>
      </text>
    </comment>
    <comment ref="N43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全体员工搞活动、聚餐</t>
        </r>
      </text>
    </comment>
    <comment ref="R49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绿化评比请校方吃饭</t>
        </r>
      </text>
    </comment>
    <comment ref="J51" authorId="1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</t>
        </r>
        <r>
          <rPr>
            <sz val="9"/>
            <rFont val="宋体"/>
            <charset val="134"/>
          </rPr>
          <t>套管理服，每套</t>
        </r>
        <r>
          <rPr>
            <sz val="9"/>
            <rFont val="Tahoma"/>
            <charset val="134"/>
          </rPr>
          <t>800</t>
        </r>
        <r>
          <rPr>
            <sz val="9"/>
            <rFont val="宋体"/>
            <charset val="134"/>
          </rPr>
          <t xml:space="preserve">元
</t>
        </r>
        <r>
          <rPr>
            <sz val="9"/>
            <rFont val="Tahoma"/>
            <charset val="134"/>
          </rPr>
          <t>7</t>
        </r>
        <r>
          <rPr>
            <sz val="9"/>
            <rFont val="宋体"/>
            <charset val="134"/>
          </rPr>
          <t>套绿化服，每套</t>
        </r>
        <r>
          <rPr>
            <sz val="9"/>
            <rFont val="Tahoma"/>
            <charset val="134"/>
          </rPr>
          <t>140</t>
        </r>
        <r>
          <rPr>
            <sz val="9"/>
            <rFont val="宋体"/>
            <charset val="134"/>
          </rPr>
          <t>元</t>
        </r>
      </text>
    </comment>
  </commentList>
</comments>
</file>

<file path=xl/comments8.xml><?xml version="1.0" encoding="utf-8"?>
<comments xmlns="http://schemas.openxmlformats.org/spreadsheetml/2006/main">
  <authors>
    <author>Administrator</author>
  </authors>
  <commentList>
    <comment ref="G16" authorId="0">
      <text>
        <r>
          <rPr>
            <sz val="9"/>
            <rFont val="宋体"/>
            <charset val="134"/>
          </rPr>
          <t xml:space="preserve">春节礼盒1634元；
</t>
        </r>
      </text>
    </comment>
    <comment ref="I16" authorId="0">
      <text>
        <r>
          <rPr>
            <sz val="9"/>
            <rFont val="宋体"/>
            <charset val="134"/>
          </rPr>
          <t>端午节礼盒1117.34元</t>
        </r>
      </text>
    </comment>
    <comment ref="L16" authorId="0">
      <text>
        <r>
          <rPr>
            <sz val="9"/>
            <rFont val="宋体"/>
            <charset val="134"/>
          </rPr>
          <t>生日福利240元
过节费1700元；</t>
        </r>
      </text>
    </comment>
    <comment ref="N16" authorId="0">
      <text>
        <r>
          <rPr>
            <sz val="9"/>
            <rFont val="宋体"/>
            <charset val="134"/>
          </rPr>
          <t xml:space="preserve">月饼930+1254元
</t>
        </r>
      </text>
    </comment>
    <comment ref="D17" authorId="0">
      <text>
        <r>
          <rPr>
            <sz val="9"/>
            <rFont val="宋体"/>
            <charset val="134"/>
          </rPr>
          <t>生活垃圾清运费8555元；</t>
        </r>
      </text>
    </comment>
    <comment ref="L22" authorId="0">
      <text>
        <r>
          <rPr>
            <sz val="9"/>
            <rFont val="宋体"/>
            <charset val="134"/>
          </rPr>
          <t>办健康证1700元；</t>
        </r>
      </text>
    </comment>
    <comment ref="N45" authorId="0">
      <text>
        <r>
          <rPr>
            <sz val="9"/>
            <rFont val="宋体"/>
            <charset val="134"/>
          </rPr>
          <t xml:space="preserve">员工培训考试费800元
</t>
        </r>
      </text>
    </comment>
    <comment ref="I53" authorId="0">
      <text>
        <r>
          <rPr>
            <sz val="9"/>
            <rFont val="宋体"/>
            <charset val="134"/>
          </rPr>
          <t xml:space="preserve">领取保洁衬衣5件，60元/件
</t>
        </r>
      </text>
    </comment>
    <comment ref="G54" authorId="0">
      <text>
        <r>
          <rPr>
            <sz val="9"/>
            <rFont val="宋体"/>
            <charset val="134"/>
          </rPr>
          <t xml:space="preserve">支付祖万学2022年7-12月分红15731元；
</t>
        </r>
      </text>
    </comment>
    <comment ref="K54" authorId="0">
      <text>
        <r>
          <rPr>
            <sz val="9"/>
            <rFont val="宋体"/>
            <charset val="134"/>
          </rPr>
          <t xml:space="preserve">支付祖万学2023年1-7月分红30097元；
</t>
        </r>
      </text>
    </comment>
  </commentList>
</comments>
</file>

<file path=xl/sharedStrings.xml><?xml version="1.0" encoding="utf-8"?>
<sst xmlns="http://schemas.openxmlformats.org/spreadsheetml/2006/main" count="1535" uniqueCount="154">
  <si>
    <t>云南云瑞物业服务有限公司2018年预算管理报表</t>
  </si>
  <si>
    <t>编制单位或部门：北辰</t>
  </si>
  <si>
    <t>序号</t>
  </si>
  <si>
    <t>项目</t>
  </si>
  <si>
    <t>2017年实际完成情况</t>
  </si>
  <si>
    <t>2018年预算管理情况</t>
  </si>
  <si>
    <t>1-11月份实际完成数据</t>
  </si>
  <si>
    <t>12月份预算数据</t>
  </si>
  <si>
    <t>2017年合计</t>
  </si>
  <si>
    <t>2018年合计</t>
  </si>
  <si>
    <t>备注</t>
  </si>
  <si>
    <t>责任部门或责任人</t>
  </si>
  <si>
    <t>审核部门</t>
  </si>
  <si>
    <t>预算申报计算公式和说明</t>
  </si>
  <si>
    <t>主营业务收入</t>
  </si>
  <si>
    <t>主营业务收入＝服务费收入+会务费收入+垃圾清运费收入+零星维修费收入+餐饮服务收入+其他收入</t>
  </si>
  <si>
    <t>1、服务费收入</t>
  </si>
  <si>
    <t>财务填</t>
  </si>
  <si>
    <t>财务部负责人</t>
  </si>
  <si>
    <t>月度会务费收入＝年度合同金额÷12（对应合同期限为2018年1月至12月）</t>
  </si>
  <si>
    <t>2、会务费收入</t>
  </si>
  <si>
    <t>月度服务费收入＝年度合同金额÷12（对应合同期限为2018年1月至12月）</t>
  </si>
  <si>
    <t>3、垃圾清运费收入</t>
  </si>
  <si>
    <t>月度垃圾清运费收入＝年度合同金额÷12（对应合同期限为2018年1月至12月）</t>
  </si>
  <si>
    <t>4、零星维修费收入</t>
  </si>
  <si>
    <t>月度零星维修费收入参照2017年平均收入分析填例，（月度零星维修费收入＝2017年收入÷实际收入月数）</t>
  </si>
  <si>
    <t>5、餐饮服务收入</t>
  </si>
  <si>
    <t>月度餐饮服务收入参照2017年平均收入分析填例，（月度餐饮服务收入＝2017年收入÷实际收入月数，2017年收入包括未开发票部份）。</t>
  </si>
  <si>
    <t>6、饭卡餐费收入</t>
  </si>
  <si>
    <t>月度饭卡餐费收入参照2017年平均收入分析填例，（月度饭卡餐费收入＝2017年收入÷实际收入月数，2017年收入充值就算收入）。</t>
  </si>
  <si>
    <t>7、其他收入</t>
  </si>
  <si>
    <t>参照2017年平均收入分析填例</t>
  </si>
  <si>
    <t>主营业务成本</t>
  </si>
  <si>
    <t>主营业务成本＝区域人员工资+区域员工福利费+清洁成本+维修成本+绿化成本+食堂成本+会议物资费用+其他</t>
  </si>
  <si>
    <t>1、区域人员工资（工资、奖金、绩效）</t>
  </si>
  <si>
    <t>人事填</t>
  </si>
  <si>
    <t>月度区域人员工资＝2018年人员编制×工资标准</t>
  </si>
  <si>
    <t>2、区域员工福利费（社保、过节费、各种补助）</t>
  </si>
  <si>
    <t>区域员工福利费＝2018年人员编制(应算人数）×2018年标准</t>
  </si>
  <si>
    <t>3、清洁成本</t>
  </si>
  <si>
    <t>项目负责人填</t>
  </si>
  <si>
    <t>月度清洁成本＝2017年清洁成本÷12月（参照填例）</t>
  </si>
  <si>
    <t>4、维修成本</t>
  </si>
  <si>
    <t>月度维修成本＝2017年维修成本÷12月（参照填例）</t>
  </si>
  <si>
    <t>5、绿化成本</t>
  </si>
  <si>
    <t>月度绿化成本＝2017年绿化成本÷12月（参照填例）</t>
  </si>
  <si>
    <t>6、食堂成本</t>
  </si>
  <si>
    <t>参照2017年分析填例，（月度食堂成本＝2017年食堂成本÷实际发生月数）。</t>
  </si>
  <si>
    <t>7、会议物资</t>
  </si>
  <si>
    <t>月度清洁成本＝2017年清洁成本÷16月（参照填例）</t>
  </si>
  <si>
    <t>8、其他</t>
  </si>
  <si>
    <t>参照2017年分析填例</t>
  </si>
  <si>
    <t>主营业务税金及附加</t>
  </si>
  <si>
    <t>主营业务税金及附加＝增值税费用+城建税费用+教育费及附加+地方教育费及附加+其他税费</t>
  </si>
  <si>
    <t>1、增值税费用</t>
  </si>
  <si>
    <t>根据服务费合同收入与国家税务征收税率计算填例</t>
  </si>
  <si>
    <t>2、城建税费用</t>
  </si>
  <si>
    <t>根据增值税费用与国家税务征收税率计算填例</t>
  </si>
  <si>
    <t>3、教育费及附加</t>
  </si>
  <si>
    <t>4、地方教育费及附加</t>
  </si>
  <si>
    <t>5、其他税费</t>
  </si>
  <si>
    <t>主营业务利润</t>
  </si>
  <si>
    <t>管理费用</t>
  </si>
  <si>
    <t>管理费用＝管理人员工资+管理人员社保+管理人员福利费+车辆使用费+房租费及物业管理费+办公费用+通讯费用+水电费+业务招待费+差旅费+其他费用</t>
  </si>
  <si>
    <t>1、管理人员工资（工资、奖金、绩效）</t>
  </si>
  <si>
    <t>月度管理人员工资＝2018年人员编制×工资标准×2017年分摊比例</t>
  </si>
  <si>
    <t>2、管理人员社保（五险）</t>
  </si>
  <si>
    <t>月度人员社保＝2018年人员编制(应算人数）×2018年标准×2017年分摊比例</t>
  </si>
  <si>
    <t>3、管理人员福利费（过节费、各种补助）</t>
  </si>
  <si>
    <t>月度员工福利费＝2018年人员编制(应算人数）×2018年标准×2017年分摊比例</t>
  </si>
  <si>
    <t>4、车辆使用费（油费、保险费、过路费、停车费、修理费）</t>
  </si>
  <si>
    <t>参照2017年分析分析填例，月度费用＝2017年费用÷12</t>
  </si>
  <si>
    <t>5、固定资产折旧</t>
  </si>
  <si>
    <t>按需要采购计划</t>
  </si>
  <si>
    <t>5.1固定资产折旧（2018年新增）</t>
  </si>
  <si>
    <t>5.2固定资产折旧（2017年及以前）</t>
  </si>
  <si>
    <t>6、低耗品摊销</t>
  </si>
  <si>
    <t>6.1低耗品（2018年新增）</t>
  </si>
  <si>
    <t>6.2低耗品（2017年及以前）</t>
  </si>
  <si>
    <t>7、办公费用（办公工具费用、招投标费用、员工聚餐费、员工培训及拓展费、邮寄费等）</t>
  </si>
  <si>
    <t>参照2017年分析填例，月度费用＝2017年费用÷12</t>
  </si>
  <si>
    <t>7.1、办公工具费用</t>
  </si>
  <si>
    <t>7.2、员工聚餐费</t>
  </si>
  <si>
    <t>7.3、员工培训及拓展费</t>
  </si>
  <si>
    <t>7.4、邮寄费</t>
  </si>
  <si>
    <t>7.5、招投标费用</t>
  </si>
  <si>
    <t>8、通讯费用（电话费、网费）</t>
  </si>
  <si>
    <t>9、水电费</t>
  </si>
  <si>
    <t>10、业务招待费（对外、对内接待费用）</t>
  </si>
  <si>
    <t>11、差旅费</t>
  </si>
  <si>
    <t>12、服装费</t>
  </si>
  <si>
    <t>人事行政、项目负责人填</t>
  </si>
  <si>
    <t>参照2017年分析填例、参照人员</t>
  </si>
  <si>
    <t>13、总部管理费用分摊</t>
  </si>
  <si>
    <t>财务费用</t>
  </si>
  <si>
    <t>财务费用＝银行贷款利息+手续费+其他利息费用</t>
  </si>
  <si>
    <t>1、银行贷款利息</t>
  </si>
  <si>
    <t>2、手续费</t>
  </si>
  <si>
    <t>3、其他利息费用</t>
  </si>
  <si>
    <t xml:space="preserve">    营业利润</t>
  </si>
  <si>
    <t>其他业务收入</t>
  </si>
  <si>
    <t>其他业务支出</t>
  </si>
  <si>
    <t>营业外收入</t>
  </si>
  <si>
    <t>营业外支出</t>
  </si>
  <si>
    <t>利润总额</t>
  </si>
  <si>
    <t>企业所得税</t>
  </si>
  <si>
    <t>净利润</t>
  </si>
  <si>
    <t>编制单位或部门：林职院</t>
  </si>
  <si>
    <r>
      <rPr>
        <sz val="11"/>
        <color theme="1"/>
        <rFont val="宋体"/>
        <charset val="134"/>
        <scheme val="minor"/>
      </rPr>
      <t>月度会务费收入＝年度合同金额</t>
    </r>
    <r>
      <rPr>
        <sz val="11"/>
        <color theme="1"/>
        <rFont val="宋体"/>
        <charset val="134"/>
      </rPr>
      <t>÷</t>
    </r>
    <r>
      <rPr>
        <sz val="11"/>
        <color theme="1"/>
        <rFont val="宋体"/>
        <charset val="134"/>
      </rPr>
      <t>12（对应合同期限为2018年1月至12月）</t>
    </r>
  </si>
  <si>
    <r>
      <rPr>
        <sz val="11"/>
        <color theme="1"/>
        <rFont val="宋体"/>
        <charset val="134"/>
        <scheme val="minor"/>
      </rPr>
      <t>月度服务费收入＝年度合同金额</t>
    </r>
    <r>
      <rPr>
        <sz val="11"/>
        <color theme="1"/>
        <rFont val="宋体"/>
        <charset val="134"/>
      </rPr>
      <t>÷</t>
    </r>
    <r>
      <rPr>
        <sz val="11"/>
        <color theme="1"/>
        <rFont val="宋体"/>
        <charset val="134"/>
      </rPr>
      <t>12（对应合同期限为2018年1月至12月）</t>
    </r>
  </si>
  <si>
    <r>
      <rPr>
        <sz val="11"/>
        <color theme="1"/>
        <rFont val="宋体"/>
        <charset val="134"/>
        <scheme val="minor"/>
      </rPr>
      <t>月度区域人员工资＝2018年人员编制</t>
    </r>
    <r>
      <rPr>
        <sz val="11"/>
        <color theme="1"/>
        <rFont val="宋体"/>
        <charset val="134"/>
      </rPr>
      <t>×</t>
    </r>
    <r>
      <rPr>
        <sz val="11"/>
        <color theme="1"/>
        <rFont val="宋体"/>
        <charset val="134"/>
      </rPr>
      <t>工资标准</t>
    </r>
  </si>
  <si>
    <r>
      <rPr>
        <sz val="11"/>
        <color theme="1"/>
        <rFont val="宋体"/>
        <charset val="134"/>
        <scheme val="minor"/>
      </rPr>
      <t>月度管理人员工资＝2018年人员编制</t>
    </r>
    <r>
      <rPr>
        <sz val="11"/>
        <color theme="1"/>
        <rFont val="宋体"/>
        <charset val="134"/>
      </rPr>
      <t>×</t>
    </r>
    <r>
      <rPr>
        <sz val="11"/>
        <color theme="1"/>
        <rFont val="宋体"/>
        <charset val="134"/>
      </rPr>
      <t>工资标准×2017年分摊比例</t>
    </r>
  </si>
  <si>
    <t>编制单位或部门：云大</t>
  </si>
  <si>
    <t>12月份实际数据</t>
  </si>
  <si>
    <r>
      <rPr>
        <sz val="11"/>
        <color theme="1"/>
        <rFont val="宋体"/>
        <charset val="134"/>
      </rPr>
      <t>月度会务费收入＝年度合同金额</t>
    </r>
    <r>
      <rPr>
        <sz val="11"/>
        <color theme="1"/>
        <rFont val="宋体"/>
        <charset val="134"/>
      </rPr>
      <t>÷</t>
    </r>
    <r>
      <rPr>
        <sz val="11"/>
        <color theme="1"/>
        <rFont val="宋体"/>
        <charset val="134"/>
      </rPr>
      <t>12（对应合同期限为2018年1月至12月）</t>
    </r>
  </si>
  <si>
    <r>
      <rPr>
        <sz val="11"/>
        <color theme="1"/>
        <rFont val="宋体"/>
        <charset val="134"/>
      </rPr>
      <t>月度服务费收入＝年度合同金额</t>
    </r>
    <r>
      <rPr>
        <sz val="11"/>
        <color theme="1"/>
        <rFont val="宋体"/>
        <charset val="134"/>
      </rPr>
      <t>÷</t>
    </r>
    <r>
      <rPr>
        <sz val="11"/>
        <color theme="1"/>
        <rFont val="宋体"/>
        <charset val="134"/>
      </rPr>
      <t>12（对应合同期限为2018年1月至12月）</t>
    </r>
  </si>
  <si>
    <r>
      <rPr>
        <sz val="11"/>
        <color theme="1"/>
        <rFont val="宋体"/>
        <charset val="134"/>
      </rPr>
      <t>月度区域人员工资＝2018年人员编制</t>
    </r>
    <r>
      <rPr>
        <sz val="11"/>
        <color theme="1"/>
        <rFont val="宋体"/>
        <charset val="134"/>
      </rPr>
      <t>×</t>
    </r>
    <r>
      <rPr>
        <sz val="11"/>
        <color theme="1"/>
        <rFont val="宋体"/>
        <charset val="134"/>
      </rPr>
      <t>工资标准</t>
    </r>
  </si>
  <si>
    <t>2、区域员工福利费（过节费、各种补助）</t>
  </si>
  <si>
    <t>7、会议物资费用</t>
  </si>
  <si>
    <r>
      <rPr>
        <sz val="11"/>
        <color theme="1"/>
        <rFont val="宋体"/>
        <charset val="134"/>
      </rPr>
      <t>月度管理人员工资＝2018年人员编制</t>
    </r>
    <r>
      <rPr>
        <sz val="11"/>
        <color theme="1"/>
        <rFont val="宋体"/>
        <charset val="134"/>
      </rPr>
      <t>×</t>
    </r>
    <r>
      <rPr>
        <sz val="11"/>
        <color theme="1"/>
        <rFont val="宋体"/>
        <charset val="134"/>
      </rPr>
      <t>工资标准×2017年分摊比例</t>
    </r>
  </si>
  <si>
    <t>编制单位或部门：冶专安宁</t>
  </si>
  <si>
    <t>编制单位或部门：开大呈贡</t>
  </si>
  <si>
    <t>编制单位或部门：开大学府</t>
  </si>
  <si>
    <t>编制单位或部门：冶专莲华</t>
  </si>
  <si>
    <t>2023年管理报表</t>
  </si>
  <si>
    <t>编制单位：大理党校</t>
  </si>
  <si>
    <t>2023年合计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</si>
  <si>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</si>
  <si>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</si>
  <si>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</si>
  <si>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</si>
  <si>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</si>
  <si>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</si>
  <si>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</si>
  <si>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</si>
  <si>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</si>
  <si>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</si>
  <si>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</si>
  <si>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</si>
  <si>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7、消防收入</t>
  </si>
  <si>
    <t>4、其它福利</t>
  </si>
  <si>
    <t>5、车辆使用费（交通、油费、保险费、过路费、停车费、修理费）</t>
  </si>
  <si>
    <t>5.1固定资产折旧（2023年新增）</t>
  </si>
  <si>
    <t>5.2固定资产折旧（2023年及以前）</t>
  </si>
  <si>
    <t>6.1低耗品（2023年新增）</t>
  </si>
  <si>
    <t>6.2低耗品（2023年及以前）</t>
  </si>
  <si>
    <t>9、房租、物管费</t>
  </si>
  <si>
    <t>10、水电费</t>
  </si>
  <si>
    <t>11、业务招待费（对外、对内接待费用）</t>
  </si>
  <si>
    <t>12、差旅费</t>
  </si>
  <si>
    <t>13、服装费</t>
  </si>
  <si>
    <t>14、其他费用</t>
  </si>
  <si>
    <t>总成本</t>
  </si>
  <si>
    <t>毛利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</si>
</sst>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0"/>
      <color theme="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4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9"/>
      <color indexed="0"/>
      <name val="Times New Roman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color indexed="0"/>
      <name val="宋体"/>
      <charset val="134"/>
    </font>
    <font>
      <sz val="9"/>
      <name val="宋体"/>
      <charset val="134"/>
    </font>
    <font>
      <sz val="9"/>
      <color indexed="0"/>
      <name val="Times New Roman"/>
      <charset val="134"/>
    </font>
    <font>
      <sz val="9"/>
      <name val="Tahoma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theme="8" tint="0.799951170384838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29" applyNumberFormat="0" applyAlignment="0" applyProtection="0">
      <alignment vertical="center"/>
    </xf>
    <xf numFmtId="0" fontId="23" fillId="17" borderId="30" applyNumberFormat="0" applyAlignment="0" applyProtection="0">
      <alignment vertical="center"/>
    </xf>
    <xf numFmtId="0" fontId="24" fillId="17" borderId="29" applyNumberFormat="0" applyAlignment="0" applyProtection="0">
      <alignment vertical="center"/>
    </xf>
    <xf numFmtId="0" fontId="25" fillId="18" borderId="31" applyNumberForma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left" vertical="center" wrapText="1"/>
    </xf>
    <xf numFmtId="176" fontId="2" fillId="2" borderId="6" xfId="0" applyNumberFormat="1" applyFont="1" applyFill="1" applyBorder="1">
      <alignment vertical="center"/>
    </xf>
    <xf numFmtId="177" fontId="2" fillId="0" borderId="6" xfId="0" applyNumberFormat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0" fillId="7" borderId="0" xfId="0" applyFill="1">
      <alignment vertical="center"/>
    </xf>
    <xf numFmtId="0" fontId="4" fillId="2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57" fontId="0" fillId="3" borderId="6" xfId="0" applyNumberForma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>
      <alignment vertical="center"/>
    </xf>
    <xf numFmtId="0" fontId="0" fillId="2" borderId="6" xfId="53" applyFill="1" applyBorder="1">
      <alignment vertical="center"/>
    </xf>
    <xf numFmtId="0" fontId="0" fillId="2" borderId="6" xfId="0" applyFill="1" applyBorder="1">
      <alignment vertical="center"/>
    </xf>
    <xf numFmtId="0" fontId="2" fillId="2" borderId="6" xfId="0" applyFont="1" applyFill="1" applyBorder="1">
      <alignment vertical="center"/>
    </xf>
    <xf numFmtId="0" fontId="0" fillId="2" borderId="6" xfId="53" applyFont="1" applyFill="1" applyBorder="1">
      <alignment vertical="center"/>
    </xf>
    <xf numFmtId="176" fontId="2" fillId="3" borderId="6" xfId="0" applyNumberFormat="1" applyFont="1" applyFill="1" applyBorder="1">
      <alignment vertical="center"/>
    </xf>
    <xf numFmtId="176" fontId="0" fillId="2" borderId="6" xfId="0" applyNumberFormat="1" applyFill="1" applyBorder="1">
      <alignment vertical="center"/>
    </xf>
    <xf numFmtId="177" fontId="2" fillId="3" borderId="6" xfId="0" applyNumberFormat="1" applyFont="1" applyFill="1" applyBorder="1">
      <alignment vertical="center"/>
    </xf>
    <xf numFmtId="176" fontId="0" fillId="2" borderId="6" xfId="53" applyNumberForma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0" fillId="0" borderId="6" xfId="0" applyFill="1" applyBorder="1">
      <alignment vertical="center"/>
    </xf>
    <xf numFmtId="0" fontId="2" fillId="0" borderId="6" xfId="0" applyFont="1" applyFill="1" applyBorder="1">
      <alignment vertical="center"/>
    </xf>
    <xf numFmtId="0" fontId="0" fillId="2" borderId="0" xfId="53" applyFill="1">
      <alignment vertical="center"/>
    </xf>
    <xf numFmtId="0" fontId="2" fillId="4" borderId="6" xfId="0" applyFont="1" applyFill="1" applyBorder="1">
      <alignment vertical="center"/>
    </xf>
    <xf numFmtId="0" fontId="0" fillId="4" borderId="6" xfId="0" applyFill="1" applyBorder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0" fillId="0" borderId="6" xfId="53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left" vertical="center" wrapText="1"/>
    </xf>
    <xf numFmtId="0" fontId="0" fillId="7" borderId="6" xfId="0" applyFill="1" applyBorder="1">
      <alignment vertical="center"/>
    </xf>
    <xf numFmtId="0" fontId="0" fillId="2" borderId="1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7" fillId="2" borderId="6" xfId="53" applyFont="1" applyFill="1" applyBorder="1">
      <alignment vertical="center"/>
    </xf>
    <xf numFmtId="0" fontId="0" fillId="0" borderId="6" xfId="49" applyFont="1" applyBorder="1">
      <alignment vertical="center"/>
    </xf>
    <xf numFmtId="0" fontId="2" fillId="8" borderId="6" xfId="0" applyFont="1" applyFill="1" applyBorder="1">
      <alignment vertical="center"/>
    </xf>
    <xf numFmtId="0" fontId="0" fillId="8" borderId="6" xfId="53" applyFill="1" applyBorder="1">
      <alignment vertical="center"/>
    </xf>
    <xf numFmtId="0" fontId="0" fillId="0" borderId="6" xfId="0" applyFill="1" applyBorder="1" applyAlignment="1">
      <alignment horizontal="left" vertical="center" wrapText="1"/>
    </xf>
    <xf numFmtId="0" fontId="0" fillId="0" borderId="6" xfId="55" applyFont="1" applyBorder="1">
      <alignment vertical="center"/>
    </xf>
    <xf numFmtId="177" fontId="0" fillId="2" borderId="6" xfId="53" applyNumberFormat="1" applyFill="1" applyBorder="1">
      <alignment vertical="center"/>
    </xf>
    <xf numFmtId="177" fontId="7" fillId="2" borderId="6" xfId="53" applyNumberFormat="1" applyFont="1" applyFill="1" applyBorder="1">
      <alignment vertical="center"/>
    </xf>
    <xf numFmtId="0" fontId="0" fillId="9" borderId="6" xfId="0" applyFont="1" applyFill="1" applyBorder="1" applyAlignment="1">
      <alignment vertical="center"/>
    </xf>
    <xf numFmtId="0" fontId="0" fillId="9" borderId="6" xfId="0" applyFill="1" applyBorder="1">
      <alignment vertical="center"/>
    </xf>
    <xf numFmtId="0" fontId="0" fillId="10" borderId="6" xfId="0" applyFill="1" applyBorder="1">
      <alignment vertical="center"/>
    </xf>
    <xf numFmtId="0" fontId="4" fillId="11" borderId="0" xfId="0" applyFont="1" applyFill="1" applyAlignment="1">
      <alignment horizontal="left" vertical="center"/>
    </xf>
    <xf numFmtId="0" fontId="0" fillId="11" borderId="0" xfId="0" applyFill="1" applyAlignment="1">
      <alignment horizontal="center" vertical="center" wrapText="1"/>
    </xf>
    <xf numFmtId="0" fontId="0" fillId="12" borderId="0" xfId="0" applyFill="1">
      <alignment vertical="center"/>
    </xf>
    <xf numFmtId="0" fontId="8" fillId="11" borderId="0" xfId="0" applyFont="1" applyFill="1">
      <alignment vertical="center"/>
    </xf>
    <xf numFmtId="0" fontId="8" fillId="12" borderId="0" xfId="0" applyFont="1" applyFill="1">
      <alignment vertical="center"/>
    </xf>
    <xf numFmtId="0" fontId="0" fillId="11" borderId="0" xfId="0" applyFill="1">
      <alignment vertical="center"/>
    </xf>
    <xf numFmtId="0" fontId="0" fillId="11" borderId="0" xfId="0" applyFill="1" applyAlignment="1">
      <alignment horizontal="left" vertical="center" wrapText="1"/>
    </xf>
    <xf numFmtId="0" fontId="0" fillId="11" borderId="0" xfId="0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6" fillId="11" borderId="13" xfId="0" applyFont="1" applyFill="1" applyBorder="1" applyAlignment="1">
      <alignment horizontal="left" vertical="center"/>
    </xf>
    <xf numFmtId="0" fontId="6" fillId="11" borderId="0" xfId="0" applyFont="1" applyFill="1" applyBorder="1" applyAlignment="1">
      <alignment horizontal="left" vertical="center"/>
    </xf>
    <xf numFmtId="0" fontId="0" fillId="11" borderId="14" xfId="0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0" fillId="11" borderId="16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57" fontId="0" fillId="11" borderId="18" xfId="0" applyNumberFormat="1" applyFill="1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/>
    </xf>
    <xf numFmtId="0" fontId="0" fillId="12" borderId="18" xfId="0" applyFill="1" applyBorder="1" applyAlignment="1">
      <alignment horizontal="left" vertical="center" wrapText="1"/>
    </xf>
    <xf numFmtId="0" fontId="0" fillId="12" borderId="18" xfId="0" applyFill="1" applyBorder="1">
      <alignment vertical="center"/>
    </xf>
    <xf numFmtId="0" fontId="0" fillId="11" borderId="18" xfId="0" applyFill="1" applyBorder="1" applyAlignment="1">
      <alignment horizontal="center" vertical="center"/>
    </xf>
    <xf numFmtId="0" fontId="0" fillId="11" borderId="18" xfId="0" applyFill="1" applyBorder="1" applyAlignment="1">
      <alignment horizontal="left" vertical="center" wrapText="1"/>
    </xf>
    <xf numFmtId="0" fontId="0" fillId="2" borderId="6" xfId="54" applyFill="1" applyBorder="1">
      <alignment vertical="center"/>
    </xf>
    <xf numFmtId="0" fontId="7" fillId="2" borderId="6" xfId="54" applyFont="1" applyFill="1" applyBorder="1">
      <alignment vertical="center"/>
    </xf>
    <xf numFmtId="0" fontId="0" fillId="11" borderId="18" xfId="0" applyFill="1" applyBorder="1">
      <alignment vertical="center"/>
    </xf>
    <xf numFmtId="0" fontId="8" fillId="11" borderId="18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left" vertical="center" wrapText="1"/>
    </xf>
    <xf numFmtId="0" fontId="8" fillId="12" borderId="18" xfId="0" applyFont="1" applyFill="1" applyBorder="1">
      <alignment vertical="center"/>
    </xf>
    <xf numFmtId="0" fontId="8" fillId="11" borderId="18" xfId="0" applyFont="1" applyFill="1" applyBorder="1">
      <alignment vertical="center"/>
    </xf>
    <xf numFmtId="176" fontId="0" fillId="12" borderId="18" xfId="0" applyNumberFormat="1" applyFill="1" applyBorder="1">
      <alignment vertical="center"/>
    </xf>
    <xf numFmtId="176" fontId="0" fillId="11" borderId="18" xfId="0" applyNumberFormat="1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177" fontId="0" fillId="12" borderId="18" xfId="0" applyNumberFormat="1" applyFill="1" applyBorder="1">
      <alignment vertical="center"/>
    </xf>
    <xf numFmtId="0" fontId="8" fillId="12" borderId="18" xfId="0" applyFont="1" applyFill="1" applyBorder="1" applyAlignment="1">
      <alignment horizontal="center" vertical="center"/>
    </xf>
    <xf numFmtId="0" fontId="9" fillId="12" borderId="18" xfId="0" applyFont="1" applyFill="1" applyBorder="1" applyAlignment="1">
      <alignment horizontal="left" vertical="center" wrapText="1"/>
    </xf>
    <xf numFmtId="177" fontId="8" fillId="12" borderId="18" xfId="0" applyNumberFormat="1" applyFont="1" applyFill="1" applyBorder="1">
      <alignment vertical="center"/>
    </xf>
    <xf numFmtId="0" fontId="2" fillId="0" borderId="18" xfId="0" applyFont="1" applyFill="1" applyBorder="1" applyAlignment="1">
      <alignment horizontal="left" vertical="center" wrapText="1"/>
    </xf>
    <xf numFmtId="177" fontId="0" fillId="0" borderId="18" xfId="0" applyNumberFormat="1" applyFill="1" applyBorder="1">
      <alignment vertical="center"/>
    </xf>
    <xf numFmtId="177" fontId="10" fillId="0" borderId="18" xfId="0" applyNumberFormat="1" applyFont="1" applyFill="1" applyBorder="1">
      <alignment vertical="center"/>
    </xf>
    <xf numFmtId="0" fontId="0" fillId="0" borderId="18" xfId="0" applyFill="1" applyBorder="1">
      <alignment vertical="center"/>
    </xf>
    <xf numFmtId="0" fontId="2" fillId="12" borderId="18" xfId="0" applyFont="1" applyFill="1" applyBorder="1" applyAlignment="1">
      <alignment horizontal="left" vertical="center" wrapText="1"/>
    </xf>
    <xf numFmtId="177" fontId="0" fillId="2" borderId="6" xfId="54" applyNumberFormat="1" applyFill="1" applyBorder="1">
      <alignment vertical="center"/>
    </xf>
    <xf numFmtId="0" fontId="2" fillId="13" borderId="18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11" borderId="18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left" vertical="center" wrapText="1"/>
    </xf>
    <xf numFmtId="0" fontId="10" fillId="12" borderId="18" xfId="0" applyFont="1" applyFill="1" applyBorder="1" applyAlignment="1">
      <alignment horizontal="left" vertical="center" wrapText="1"/>
    </xf>
    <xf numFmtId="0" fontId="4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 wrapText="1"/>
    </xf>
    <xf numFmtId="0" fontId="8" fillId="12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8" fillId="14" borderId="18" xfId="0" applyFont="1" applyFill="1" applyBorder="1" applyAlignment="1">
      <alignment horizontal="center" vertical="center"/>
    </xf>
    <xf numFmtId="0" fontId="0" fillId="11" borderId="14" xfId="0" applyFill="1" applyBorder="1">
      <alignment vertical="center"/>
    </xf>
    <xf numFmtId="0" fontId="0" fillId="12" borderId="15" xfId="0" applyFill="1" applyBorder="1">
      <alignment vertical="center"/>
    </xf>
    <xf numFmtId="0" fontId="4" fillId="11" borderId="0" xfId="52" applyFont="1" applyFill="1" applyAlignment="1">
      <alignment horizontal="left" vertical="center"/>
    </xf>
    <xf numFmtId="0" fontId="0" fillId="11" borderId="0" xfId="52" applyFont="1" applyFill="1" applyAlignment="1">
      <alignment horizontal="center" vertical="center" wrapText="1"/>
    </xf>
    <xf numFmtId="0" fontId="1" fillId="12" borderId="0" xfId="52" applyFont="1" applyFill="1">
      <alignment vertical="center"/>
    </xf>
    <xf numFmtId="0" fontId="1" fillId="11" borderId="0" xfId="52" applyFont="1" applyFill="1">
      <alignment vertical="center"/>
    </xf>
    <xf numFmtId="0" fontId="11" fillId="11" borderId="0" xfId="52" applyFont="1" applyFill="1">
      <alignment vertical="center"/>
    </xf>
    <xf numFmtId="0" fontId="11" fillId="12" borderId="0" xfId="52" applyFont="1" applyFill="1">
      <alignment vertical="center"/>
    </xf>
    <xf numFmtId="0" fontId="1" fillId="0" borderId="0" xfId="52" applyFont="1" applyFill="1">
      <alignment vertical="center"/>
    </xf>
    <xf numFmtId="0" fontId="0" fillId="11" borderId="0" xfId="52" applyFill="1">
      <alignment vertical="center"/>
    </xf>
    <xf numFmtId="0" fontId="0" fillId="11" borderId="0" xfId="52" applyFill="1" applyAlignment="1">
      <alignment horizontal="left" vertical="center" wrapText="1"/>
    </xf>
    <xf numFmtId="0" fontId="0" fillId="11" borderId="0" xfId="52" applyFill="1" applyAlignment="1">
      <alignment horizontal="center" vertical="center"/>
    </xf>
    <xf numFmtId="0" fontId="5" fillId="11" borderId="0" xfId="52" applyFont="1" applyFill="1" applyAlignment="1">
      <alignment horizontal="center" vertical="center"/>
    </xf>
    <xf numFmtId="0" fontId="6" fillId="11" borderId="13" xfId="52" applyFont="1" applyFill="1" applyBorder="1" applyAlignment="1">
      <alignment horizontal="left" vertical="center"/>
    </xf>
    <xf numFmtId="0" fontId="0" fillId="11" borderId="14" xfId="52" applyFont="1" applyFill="1" applyBorder="1" applyAlignment="1">
      <alignment horizontal="center" vertical="center" wrapText="1"/>
    </xf>
    <xf numFmtId="0" fontId="0" fillId="11" borderId="21" xfId="52" applyFont="1" applyFill="1" applyBorder="1" applyAlignment="1">
      <alignment horizontal="center" vertical="center" wrapText="1"/>
    </xf>
    <xf numFmtId="0" fontId="0" fillId="11" borderId="22" xfId="52" applyFont="1" applyFill="1" applyBorder="1" applyAlignment="1">
      <alignment horizontal="center" vertical="center" wrapText="1"/>
    </xf>
    <xf numFmtId="0" fontId="0" fillId="11" borderId="23" xfId="52" applyFont="1" applyFill="1" applyBorder="1" applyAlignment="1">
      <alignment horizontal="center" vertical="center" wrapText="1"/>
    </xf>
    <xf numFmtId="0" fontId="0" fillId="11" borderId="19" xfId="52" applyFont="1" applyFill="1" applyBorder="1" applyAlignment="1">
      <alignment horizontal="center" vertical="center" wrapText="1"/>
    </xf>
    <xf numFmtId="0" fontId="0" fillId="11" borderId="24" xfId="52" applyFont="1" applyFill="1" applyBorder="1" applyAlignment="1">
      <alignment horizontal="center" vertical="center" wrapText="1"/>
    </xf>
    <xf numFmtId="0" fontId="0" fillId="11" borderId="13" xfId="52" applyFont="1" applyFill="1" applyBorder="1" applyAlignment="1">
      <alignment horizontal="center" vertical="center" wrapText="1"/>
    </xf>
    <xf numFmtId="0" fontId="0" fillId="11" borderId="25" xfId="52" applyFont="1" applyFill="1" applyBorder="1" applyAlignment="1">
      <alignment horizontal="center" vertical="center" wrapText="1"/>
    </xf>
    <xf numFmtId="0" fontId="0" fillId="11" borderId="20" xfId="52" applyFont="1" applyFill="1" applyBorder="1" applyAlignment="1">
      <alignment horizontal="center" vertical="center" wrapText="1"/>
    </xf>
    <xf numFmtId="0" fontId="0" fillId="11" borderId="18" xfId="52" applyFont="1" applyFill="1" applyBorder="1" applyAlignment="1">
      <alignment horizontal="center" vertical="center" wrapText="1"/>
    </xf>
    <xf numFmtId="57" fontId="0" fillId="11" borderId="18" xfId="52" applyNumberFormat="1" applyFont="1" applyFill="1" applyBorder="1" applyAlignment="1">
      <alignment horizontal="center" vertical="center" wrapText="1"/>
    </xf>
    <xf numFmtId="0" fontId="1" fillId="12" borderId="18" xfId="52" applyFont="1" applyFill="1" applyBorder="1" applyAlignment="1">
      <alignment horizontal="center" vertical="center"/>
    </xf>
    <xf numFmtId="0" fontId="1" fillId="12" borderId="18" xfId="52" applyFont="1" applyFill="1" applyBorder="1" applyAlignment="1">
      <alignment horizontal="left" vertical="center" wrapText="1"/>
    </xf>
    <xf numFmtId="0" fontId="1" fillId="12" borderId="18" xfId="52" applyFont="1" applyFill="1" applyBorder="1">
      <alignment vertical="center"/>
    </xf>
    <xf numFmtId="0" fontId="1" fillId="11" borderId="18" xfId="52" applyFont="1" applyFill="1" applyBorder="1" applyAlignment="1">
      <alignment horizontal="center" vertical="center"/>
    </xf>
    <xf numFmtId="0" fontId="1" fillId="11" borderId="18" xfId="52" applyFont="1" applyFill="1" applyBorder="1" applyAlignment="1">
      <alignment horizontal="left" vertical="center" wrapText="1"/>
    </xf>
    <xf numFmtId="0" fontId="1" fillId="2" borderId="6" xfId="51" applyFont="1" applyFill="1" applyBorder="1">
      <alignment vertical="center"/>
    </xf>
    <xf numFmtId="0" fontId="12" fillId="2" borderId="6" xfId="51" applyFont="1" applyFill="1" applyBorder="1">
      <alignment vertical="center"/>
    </xf>
    <xf numFmtId="0" fontId="1" fillId="11" borderId="18" xfId="52" applyFont="1" applyFill="1" applyBorder="1">
      <alignment vertical="center"/>
    </xf>
    <xf numFmtId="0" fontId="11" fillId="12" borderId="18" xfId="52" applyFont="1" applyFill="1" applyBorder="1">
      <alignment vertical="center"/>
    </xf>
    <xf numFmtId="0" fontId="11" fillId="11" borderId="18" xfId="52" applyFont="1" applyFill="1" applyBorder="1" applyAlignment="1">
      <alignment horizontal="center" vertical="center"/>
    </xf>
    <xf numFmtId="0" fontId="11" fillId="11" borderId="18" xfId="52" applyFont="1" applyFill="1" applyBorder="1" applyAlignment="1">
      <alignment horizontal="left" vertical="center" wrapText="1"/>
    </xf>
    <xf numFmtId="0" fontId="11" fillId="11" borderId="18" xfId="52" applyFont="1" applyFill="1" applyBorder="1">
      <alignment vertical="center"/>
    </xf>
    <xf numFmtId="176" fontId="1" fillId="12" borderId="18" xfId="52" applyNumberFormat="1" applyFont="1" applyFill="1" applyBorder="1">
      <alignment vertical="center"/>
    </xf>
    <xf numFmtId="176" fontId="1" fillId="11" borderId="18" xfId="52" applyNumberFormat="1" applyFont="1" applyFill="1" applyBorder="1">
      <alignment vertical="center"/>
    </xf>
    <xf numFmtId="0" fontId="1" fillId="0" borderId="18" xfId="52" applyFont="1" applyFill="1" applyBorder="1" applyAlignment="1">
      <alignment horizontal="center" vertical="center"/>
    </xf>
    <xf numFmtId="177" fontId="1" fillId="12" borderId="18" xfId="52" applyNumberFormat="1" applyFont="1" applyFill="1" applyBorder="1">
      <alignment vertical="center"/>
    </xf>
    <xf numFmtId="0" fontId="11" fillId="12" borderId="18" xfId="52" applyFont="1" applyFill="1" applyBorder="1" applyAlignment="1">
      <alignment horizontal="center" vertical="center"/>
    </xf>
    <xf numFmtId="0" fontId="11" fillId="12" borderId="18" xfId="52" applyFont="1" applyFill="1" applyBorder="1" applyAlignment="1">
      <alignment horizontal="left" vertical="center" wrapText="1"/>
    </xf>
    <xf numFmtId="177" fontId="11" fillId="12" borderId="18" xfId="52" applyNumberFormat="1" applyFont="1" applyFill="1" applyBorder="1">
      <alignment vertical="center"/>
    </xf>
    <xf numFmtId="0" fontId="1" fillId="0" borderId="18" xfId="52" applyFont="1" applyFill="1" applyBorder="1" applyAlignment="1">
      <alignment horizontal="left" vertical="center" wrapText="1"/>
    </xf>
    <xf numFmtId="177" fontId="1" fillId="0" borderId="18" xfId="52" applyNumberFormat="1" applyFont="1" applyFill="1" applyBorder="1">
      <alignment vertical="center"/>
    </xf>
    <xf numFmtId="177" fontId="13" fillId="0" borderId="18" xfId="52" applyNumberFormat="1" applyFont="1" applyFill="1" applyBorder="1">
      <alignment vertical="center"/>
    </xf>
    <xf numFmtId="0" fontId="1" fillId="0" borderId="18" xfId="52" applyFont="1" applyFill="1" applyBorder="1">
      <alignment vertical="center"/>
    </xf>
    <xf numFmtId="0" fontId="1" fillId="13" borderId="18" xfId="52" applyFont="1" applyFill="1" applyBorder="1" applyAlignment="1">
      <alignment horizontal="left" vertical="center" wrapText="1"/>
    </xf>
    <xf numFmtId="0" fontId="11" fillId="0" borderId="18" xfId="52" applyFont="1" applyFill="1" applyBorder="1" applyAlignment="1">
      <alignment horizontal="left" vertical="center" wrapText="1"/>
    </xf>
    <xf numFmtId="0" fontId="11" fillId="0" borderId="18" xfId="52" applyFont="1" applyFill="1" applyBorder="1" applyAlignment="1">
      <alignment horizontal="center" vertical="center"/>
    </xf>
    <xf numFmtId="0" fontId="13" fillId="12" borderId="18" xfId="52" applyFont="1" applyFill="1" applyBorder="1" applyAlignment="1">
      <alignment horizontal="left" vertical="center" wrapText="1"/>
    </xf>
    <xf numFmtId="0" fontId="6" fillId="11" borderId="0" xfId="52" applyFont="1" applyFill="1" applyBorder="1" applyAlignment="1">
      <alignment horizontal="left" vertical="center"/>
    </xf>
    <xf numFmtId="0" fontId="4" fillId="11" borderId="0" xfId="52" applyFont="1" applyFill="1" applyAlignment="1">
      <alignment horizontal="center" vertical="center"/>
    </xf>
    <xf numFmtId="0" fontId="4" fillId="11" borderId="0" xfId="52" applyFont="1" applyFill="1" applyAlignment="1">
      <alignment horizontal="left" vertical="center" wrapText="1"/>
    </xf>
    <xf numFmtId="0" fontId="0" fillId="11" borderId="18" xfId="52" applyFont="1" applyFill="1" applyBorder="1" applyAlignment="1">
      <alignment horizontal="left" vertical="center" wrapText="1"/>
    </xf>
    <xf numFmtId="0" fontId="11" fillId="14" borderId="18" xfId="52" applyFont="1" applyFill="1" applyBorder="1" applyAlignment="1">
      <alignment horizontal="center" vertical="center"/>
    </xf>
    <xf numFmtId="0" fontId="1" fillId="11" borderId="14" xfId="52" applyFont="1" applyFill="1" applyBorder="1">
      <alignment vertical="center"/>
    </xf>
    <xf numFmtId="0" fontId="1" fillId="12" borderId="15" xfId="52" applyFont="1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2 2" xfId="51"/>
    <cellStyle name="常规 2" xfId="52"/>
    <cellStyle name="常规 3" xfId="53"/>
    <cellStyle name="常规 5" xfId="54"/>
    <cellStyle name="常规 7" xfId="55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65"/>
  <sheetViews>
    <sheetView zoomScale="80" zoomScaleNormal="80" workbookViewId="0">
      <selection activeCell="C11" sqref="C11"/>
    </sheetView>
  </sheetViews>
  <sheetFormatPr defaultColWidth="9" defaultRowHeight="13.5"/>
  <cols>
    <col min="1" max="1" width="6.125" style="177" customWidth="1"/>
    <col min="2" max="2" width="44.5" style="178" customWidth="1"/>
    <col min="3" max="3" width="19.875" style="177" customWidth="1"/>
    <col min="4" max="4" width="15" style="177" customWidth="1"/>
    <col min="5" max="5" width="12.875" style="177" customWidth="1"/>
    <col min="6" max="6" width="13.125" style="177" customWidth="1"/>
    <col min="7" max="7" width="12.25" style="177" customWidth="1"/>
    <col min="8" max="8" width="12.75" style="177" customWidth="1"/>
    <col min="9" max="19" width="11.625" style="177" customWidth="1"/>
    <col min="20" max="20" width="18.5" style="179" customWidth="1"/>
    <col min="21" max="21" width="13.625" style="179" customWidth="1"/>
    <col min="22" max="22" width="98.375" style="178" customWidth="1"/>
    <col min="23" max="23" width="9" style="177" customWidth="1"/>
    <col min="24" max="16384" width="9" style="177"/>
  </cols>
  <sheetData>
    <row r="1" ht="25.5" spans="1:16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="170" customFormat="1" ht="20.25" customHeight="1" spans="1:22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220"/>
      <c r="T2" s="221"/>
      <c r="U2" s="221"/>
      <c r="V2" s="222"/>
    </row>
    <row r="3" s="171" customFormat="1" ht="23.25" customHeight="1" spans="1:22">
      <c r="A3" s="182" t="s">
        <v>2</v>
      </c>
      <c r="B3" s="182" t="s">
        <v>3</v>
      </c>
      <c r="C3" s="183" t="s">
        <v>4</v>
      </c>
      <c r="D3" s="184"/>
      <c r="E3" s="185"/>
      <c r="F3" s="183" t="s">
        <v>5</v>
      </c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5"/>
    </row>
    <row r="4" s="171" customFormat="1" ht="23.25" customHeight="1" spans="1:22">
      <c r="A4" s="186"/>
      <c r="B4" s="186"/>
      <c r="C4" s="187"/>
      <c r="D4" s="188"/>
      <c r="E4" s="189"/>
      <c r="F4" s="187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9"/>
    </row>
    <row r="5" s="171" customFormat="1" ht="31.5" customHeight="1" spans="1:22">
      <c r="A5" s="190"/>
      <c r="B5" s="190"/>
      <c r="C5" s="191" t="s">
        <v>6</v>
      </c>
      <c r="D5" s="191" t="s">
        <v>7</v>
      </c>
      <c r="E5" s="191" t="s">
        <v>8</v>
      </c>
      <c r="F5" s="191" t="s">
        <v>9</v>
      </c>
      <c r="G5" s="192">
        <v>43101</v>
      </c>
      <c r="H5" s="192">
        <v>43132</v>
      </c>
      <c r="I5" s="192">
        <v>43160</v>
      </c>
      <c r="J5" s="192">
        <v>43191</v>
      </c>
      <c r="K5" s="192">
        <v>43221</v>
      </c>
      <c r="L5" s="192">
        <v>43252</v>
      </c>
      <c r="M5" s="192">
        <v>43282</v>
      </c>
      <c r="N5" s="192">
        <v>43313</v>
      </c>
      <c r="O5" s="192">
        <v>43344</v>
      </c>
      <c r="P5" s="192">
        <v>43374</v>
      </c>
      <c r="Q5" s="192">
        <v>43405</v>
      </c>
      <c r="R5" s="192">
        <v>43435</v>
      </c>
      <c r="S5" s="191" t="s">
        <v>10</v>
      </c>
      <c r="T5" s="191" t="s">
        <v>11</v>
      </c>
      <c r="U5" s="191" t="s">
        <v>12</v>
      </c>
      <c r="V5" s="223" t="s">
        <v>13</v>
      </c>
    </row>
    <row r="6" s="172" customFormat="1" ht="26.25" customHeight="1" spans="1:22">
      <c r="A6" s="193">
        <v>1</v>
      </c>
      <c r="B6" s="194" t="s">
        <v>14</v>
      </c>
      <c r="C6" s="195">
        <f t="shared" ref="C6:R6" si="0">C7+C8+C9+C10+C11+C12+C13</f>
        <v>1665848.4</v>
      </c>
      <c r="D6" s="195">
        <f t="shared" si="0"/>
        <v>202197</v>
      </c>
      <c r="E6" s="195">
        <f t="shared" si="0"/>
        <v>1868045.4</v>
      </c>
      <c r="F6" s="195">
        <f t="shared" si="0"/>
        <v>2058000</v>
      </c>
      <c r="G6" s="195">
        <f t="shared" si="0"/>
        <v>171500</v>
      </c>
      <c r="H6" s="195">
        <f t="shared" si="0"/>
        <v>171500</v>
      </c>
      <c r="I6" s="195">
        <f t="shared" si="0"/>
        <v>171500</v>
      </c>
      <c r="J6" s="195">
        <f t="shared" si="0"/>
        <v>171500</v>
      </c>
      <c r="K6" s="195">
        <f t="shared" si="0"/>
        <v>171500</v>
      </c>
      <c r="L6" s="195">
        <f t="shared" si="0"/>
        <v>171500</v>
      </c>
      <c r="M6" s="195">
        <f t="shared" si="0"/>
        <v>171500</v>
      </c>
      <c r="N6" s="195">
        <f t="shared" si="0"/>
        <v>171500</v>
      </c>
      <c r="O6" s="195">
        <f t="shared" si="0"/>
        <v>171500</v>
      </c>
      <c r="P6" s="195">
        <f t="shared" si="0"/>
        <v>171500</v>
      </c>
      <c r="Q6" s="195">
        <f t="shared" si="0"/>
        <v>171500</v>
      </c>
      <c r="R6" s="195">
        <f t="shared" si="0"/>
        <v>171500</v>
      </c>
      <c r="S6" s="195"/>
      <c r="T6" s="193"/>
      <c r="U6" s="193"/>
      <c r="V6" s="194" t="s">
        <v>15</v>
      </c>
    </row>
    <row r="7" s="173" customFormat="1" ht="25.5" customHeight="1" spans="1:22">
      <c r="A7" s="196">
        <v>2</v>
      </c>
      <c r="B7" s="197" t="s">
        <v>16</v>
      </c>
      <c r="C7" s="198">
        <v>1372000</v>
      </c>
      <c r="D7" s="199">
        <v>171500</v>
      </c>
      <c r="E7" s="195">
        <f t="shared" ref="E7:E13" si="1">C7+D7</f>
        <v>1543500</v>
      </c>
      <c r="F7" s="195">
        <f t="shared" ref="F7:F13" si="2">G7+H7+I7+J7+K7+L7+M7+N7+O7+P7+Q7+R7</f>
        <v>2058000</v>
      </c>
      <c r="G7" s="198">
        <v>171500</v>
      </c>
      <c r="H7" s="198">
        <v>171500</v>
      </c>
      <c r="I7" s="198">
        <v>171500</v>
      </c>
      <c r="J7" s="198">
        <v>171500</v>
      </c>
      <c r="K7" s="198">
        <v>171500</v>
      </c>
      <c r="L7" s="198">
        <v>171500</v>
      </c>
      <c r="M7" s="198">
        <v>171500</v>
      </c>
      <c r="N7" s="198">
        <v>171500</v>
      </c>
      <c r="O7" s="198">
        <v>171500</v>
      </c>
      <c r="P7" s="198">
        <v>171500</v>
      </c>
      <c r="Q7" s="198">
        <v>171500</v>
      </c>
      <c r="R7" s="198">
        <v>171500</v>
      </c>
      <c r="S7" s="200"/>
      <c r="T7" s="207" t="s">
        <v>17</v>
      </c>
      <c r="U7" s="207" t="s">
        <v>18</v>
      </c>
      <c r="V7" s="197" t="s">
        <v>19</v>
      </c>
    </row>
    <row r="8" s="173" customFormat="1" ht="26.25" customHeight="1" spans="1:22">
      <c r="A8" s="196">
        <v>3</v>
      </c>
      <c r="B8" s="197" t="s">
        <v>20</v>
      </c>
      <c r="C8" s="198"/>
      <c r="D8" s="199"/>
      <c r="E8" s="195">
        <f t="shared" si="1"/>
        <v>0</v>
      </c>
      <c r="F8" s="195">
        <f t="shared" si="2"/>
        <v>0</v>
      </c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7" t="s">
        <v>17</v>
      </c>
      <c r="U8" s="207" t="s">
        <v>18</v>
      </c>
      <c r="V8" s="197" t="s">
        <v>21</v>
      </c>
    </row>
    <row r="9" s="173" customFormat="1" ht="26.25" customHeight="1" spans="1:22">
      <c r="A9" s="196">
        <v>4</v>
      </c>
      <c r="B9" s="197" t="s">
        <v>22</v>
      </c>
      <c r="C9" s="198"/>
      <c r="D9" s="199"/>
      <c r="E9" s="195">
        <f t="shared" si="1"/>
        <v>0</v>
      </c>
      <c r="F9" s="195">
        <f t="shared" si="2"/>
        <v>0</v>
      </c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7" t="s">
        <v>17</v>
      </c>
      <c r="U9" s="207" t="s">
        <v>18</v>
      </c>
      <c r="V9" s="197" t="s">
        <v>23</v>
      </c>
    </row>
    <row r="10" s="173" customFormat="1" ht="26.25" customHeight="1" spans="1:22">
      <c r="A10" s="196">
        <v>5</v>
      </c>
      <c r="B10" s="197" t="s">
        <v>24</v>
      </c>
      <c r="C10" s="198"/>
      <c r="D10" s="199"/>
      <c r="E10" s="195">
        <f t="shared" si="1"/>
        <v>0</v>
      </c>
      <c r="F10" s="195">
        <f t="shared" si="2"/>
        <v>0</v>
      </c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7" t="s">
        <v>17</v>
      </c>
      <c r="U10" s="207" t="s">
        <v>18</v>
      </c>
      <c r="V10" s="197" t="s">
        <v>25</v>
      </c>
    </row>
    <row r="11" s="173" customFormat="1" ht="36.75" customHeight="1" spans="1:22">
      <c r="A11" s="196">
        <v>6</v>
      </c>
      <c r="B11" s="197" t="s">
        <v>26</v>
      </c>
      <c r="C11" s="198">
        <v>120148</v>
      </c>
      <c r="D11" s="199">
        <v>4809</v>
      </c>
      <c r="E11" s="195">
        <f t="shared" si="1"/>
        <v>124957</v>
      </c>
      <c r="F11" s="195">
        <f t="shared" si="2"/>
        <v>0</v>
      </c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7" t="s">
        <v>17</v>
      </c>
      <c r="U11" s="207" t="s">
        <v>18</v>
      </c>
      <c r="V11" s="197" t="s">
        <v>27</v>
      </c>
    </row>
    <row r="12" s="173" customFormat="1" ht="33.75" customHeight="1" spans="1:22">
      <c r="A12" s="196">
        <v>7</v>
      </c>
      <c r="B12" s="197" t="s">
        <v>28</v>
      </c>
      <c r="C12" s="198">
        <v>168590.2</v>
      </c>
      <c r="D12" s="199">
        <v>25888</v>
      </c>
      <c r="E12" s="195">
        <f t="shared" si="1"/>
        <v>194478.2</v>
      </c>
      <c r="F12" s="195">
        <f t="shared" si="2"/>
        <v>0</v>
      </c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7" t="s">
        <v>17</v>
      </c>
      <c r="U12" s="207" t="s">
        <v>18</v>
      </c>
      <c r="V12" s="197" t="s">
        <v>29</v>
      </c>
    </row>
    <row r="13" s="173" customFormat="1" ht="23.25" customHeight="1" spans="1:22">
      <c r="A13" s="196">
        <v>8</v>
      </c>
      <c r="B13" s="197" t="s">
        <v>30</v>
      </c>
      <c r="C13" s="198">
        <v>5110.2</v>
      </c>
      <c r="D13" s="199"/>
      <c r="E13" s="195">
        <f t="shared" si="1"/>
        <v>5110.2</v>
      </c>
      <c r="F13" s="195">
        <f t="shared" si="2"/>
        <v>0</v>
      </c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7" t="s">
        <v>17</v>
      </c>
      <c r="U13" s="207" t="s">
        <v>18</v>
      </c>
      <c r="V13" s="197" t="s">
        <v>31</v>
      </c>
    </row>
    <row r="14" s="172" customFormat="1" ht="23.25" customHeight="1" spans="1:22">
      <c r="A14" s="193">
        <v>9</v>
      </c>
      <c r="B14" s="194" t="s">
        <v>32</v>
      </c>
      <c r="C14" s="195">
        <f>C15+C16+C17+C18+C19+C20+C21+C22</f>
        <v>1026308.42</v>
      </c>
      <c r="D14" s="195">
        <f>D15+D16+D17+D18+D19+D20+D21+D22</f>
        <v>136492.03</v>
      </c>
      <c r="E14" s="195">
        <f>E15+E16+E17+E18+E19+E20+E21+E22</f>
        <v>1162800.45</v>
      </c>
      <c r="F14" s="195">
        <f>F15+F16+F17+F18+F19+F20+F21+F22</f>
        <v>1492194.49</v>
      </c>
      <c r="G14" s="195">
        <f>G15+G16+G17+G18+G19+G20+G21+G22</f>
        <v>123808.66</v>
      </c>
      <c r="H14" s="195">
        <f t="shared" ref="H14:R14" si="3">H15+H16+H17+H18+H19+H20+J21+H22</f>
        <v>131368.66</v>
      </c>
      <c r="I14" s="195">
        <f t="shared" si="3"/>
        <v>128657.66</v>
      </c>
      <c r="J14" s="195">
        <f t="shared" si="3"/>
        <v>124558.66</v>
      </c>
      <c r="K14" s="195">
        <f t="shared" si="3"/>
        <v>122425.05</v>
      </c>
      <c r="L14" s="195">
        <f t="shared" si="3"/>
        <v>122965.5</v>
      </c>
      <c r="M14" s="195">
        <f t="shared" si="3"/>
        <v>122525.05</v>
      </c>
      <c r="N14" s="195">
        <f t="shared" si="3"/>
        <v>122505.05</v>
      </c>
      <c r="O14" s="195">
        <f t="shared" si="3"/>
        <v>125465.05</v>
      </c>
      <c r="P14" s="195">
        <f t="shared" si="3"/>
        <v>122865.05</v>
      </c>
      <c r="Q14" s="195">
        <f t="shared" si="3"/>
        <v>122485.05</v>
      </c>
      <c r="R14" s="195">
        <f t="shared" si="3"/>
        <v>122565.05</v>
      </c>
      <c r="S14" s="195"/>
      <c r="T14" s="193"/>
      <c r="U14" s="193" t="s">
        <v>18</v>
      </c>
      <c r="V14" s="194" t="s">
        <v>33</v>
      </c>
    </row>
    <row r="15" s="173" customFormat="1" ht="28.5" customHeight="1" spans="1:22">
      <c r="A15" s="196">
        <v>10</v>
      </c>
      <c r="B15" s="197" t="s">
        <v>34</v>
      </c>
      <c r="C15" s="198">
        <v>431130</v>
      </c>
      <c r="D15" s="199">
        <v>59699</v>
      </c>
      <c r="E15" s="195">
        <f t="shared" ref="E15:E22" si="4">C15+D15</f>
        <v>490829</v>
      </c>
      <c r="F15" s="201">
        <f t="shared" ref="F15:F20" si="5">G15+H15+I15+J15+K15+L15+M15+N15+O15+P15+Q15+R15</f>
        <v>615079</v>
      </c>
      <c r="G15" s="200">
        <v>50870</v>
      </c>
      <c r="H15" s="200">
        <v>53140</v>
      </c>
      <c r="I15" s="200">
        <v>54909</v>
      </c>
      <c r="J15" s="200">
        <v>51360</v>
      </c>
      <c r="K15" s="200">
        <v>50460</v>
      </c>
      <c r="L15" s="200">
        <v>50460</v>
      </c>
      <c r="M15" s="200">
        <v>50460</v>
      </c>
      <c r="N15" s="200">
        <v>50540</v>
      </c>
      <c r="O15" s="200">
        <v>50620</v>
      </c>
      <c r="P15" s="200">
        <v>50620</v>
      </c>
      <c r="Q15" s="200">
        <v>50780</v>
      </c>
      <c r="R15" s="200">
        <v>50860</v>
      </c>
      <c r="S15" s="200"/>
      <c r="T15" s="196" t="s">
        <v>35</v>
      </c>
      <c r="U15" s="207" t="s">
        <v>18</v>
      </c>
      <c r="V15" s="197" t="s">
        <v>36</v>
      </c>
    </row>
    <row r="16" s="173" customFormat="1" ht="29.25" customHeight="1" spans="1:22">
      <c r="A16" s="196">
        <v>11</v>
      </c>
      <c r="B16" s="197" t="s">
        <v>37</v>
      </c>
      <c r="C16" s="198">
        <f>2917.21+44449.16</f>
        <v>47366.37</v>
      </c>
      <c r="D16" s="199">
        <v>6872.53</v>
      </c>
      <c r="E16" s="195">
        <f t="shared" si="4"/>
        <v>54238.9</v>
      </c>
      <c r="F16" s="201">
        <f t="shared" si="5"/>
        <v>81931.49</v>
      </c>
      <c r="G16" s="200">
        <v>6801.66</v>
      </c>
      <c r="H16" s="200">
        <v>11931.66</v>
      </c>
      <c r="I16" s="200">
        <v>7451.66</v>
      </c>
      <c r="J16" s="200">
        <v>6801.66</v>
      </c>
      <c r="K16" s="200">
        <v>5668.05</v>
      </c>
      <c r="L16" s="200">
        <v>6208.5</v>
      </c>
      <c r="M16" s="200">
        <v>5668.05</v>
      </c>
      <c r="N16" s="200">
        <v>5668.05</v>
      </c>
      <c r="O16" s="200">
        <v>8548.05</v>
      </c>
      <c r="P16" s="200">
        <v>5848.05</v>
      </c>
      <c r="Q16" s="200">
        <v>5668.05</v>
      </c>
      <c r="R16" s="200">
        <v>5668.05</v>
      </c>
      <c r="S16" s="200"/>
      <c r="T16" s="196" t="s">
        <v>35</v>
      </c>
      <c r="U16" s="207" t="s">
        <v>18</v>
      </c>
      <c r="V16" s="197" t="s">
        <v>38</v>
      </c>
    </row>
    <row r="17" s="174" customFormat="1" ht="23.25" customHeight="1" spans="1:22">
      <c r="A17" s="202">
        <v>12</v>
      </c>
      <c r="B17" s="203" t="s">
        <v>39</v>
      </c>
      <c r="C17" s="198">
        <v>5570.3</v>
      </c>
      <c r="D17" s="199">
        <v>140</v>
      </c>
      <c r="E17" s="201">
        <f t="shared" si="4"/>
        <v>5710.3</v>
      </c>
      <c r="F17" s="201">
        <f t="shared" si="5"/>
        <v>16260</v>
      </c>
      <c r="G17" s="204">
        <v>1355</v>
      </c>
      <c r="H17" s="204">
        <v>1355</v>
      </c>
      <c r="I17" s="204">
        <v>1355</v>
      </c>
      <c r="J17" s="204">
        <v>1355</v>
      </c>
      <c r="K17" s="204">
        <v>1355</v>
      </c>
      <c r="L17" s="204">
        <v>1355</v>
      </c>
      <c r="M17" s="204">
        <v>1355</v>
      </c>
      <c r="N17" s="204">
        <v>1355</v>
      </c>
      <c r="O17" s="204">
        <v>1355</v>
      </c>
      <c r="P17" s="204">
        <v>1355</v>
      </c>
      <c r="Q17" s="204">
        <v>1355</v>
      </c>
      <c r="R17" s="204">
        <v>1355</v>
      </c>
      <c r="S17" s="204"/>
      <c r="T17" s="202" t="s">
        <v>40</v>
      </c>
      <c r="U17" s="218" t="s">
        <v>18</v>
      </c>
      <c r="V17" s="203" t="s">
        <v>41</v>
      </c>
    </row>
    <row r="18" s="174" customFormat="1" ht="23.25" customHeight="1" spans="1:22">
      <c r="A18" s="202">
        <v>13</v>
      </c>
      <c r="B18" s="203" t="s">
        <v>42</v>
      </c>
      <c r="C18" s="198">
        <v>8758.5</v>
      </c>
      <c r="D18" s="199">
        <v>123</v>
      </c>
      <c r="E18" s="201">
        <f t="shared" si="4"/>
        <v>8881.5</v>
      </c>
      <c r="F18" s="201">
        <f t="shared" si="5"/>
        <v>9000</v>
      </c>
      <c r="G18" s="204">
        <v>750</v>
      </c>
      <c r="H18" s="204">
        <v>750</v>
      </c>
      <c r="I18" s="204">
        <v>750</v>
      </c>
      <c r="J18" s="204">
        <v>750</v>
      </c>
      <c r="K18" s="204">
        <v>750</v>
      </c>
      <c r="L18" s="204">
        <v>750</v>
      </c>
      <c r="M18" s="204">
        <v>750</v>
      </c>
      <c r="N18" s="204">
        <v>750</v>
      </c>
      <c r="O18" s="204">
        <v>750</v>
      </c>
      <c r="P18" s="204">
        <v>750</v>
      </c>
      <c r="Q18" s="204">
        <v>750</v>
      </c>
      <c r="R18" s="204">
        <v>750</v>
      </c>
      <c r="S18" s="204"/>
      <c r="T18" s="202" t="s">
        <v>40</v>
      </c>
      <c r="U18" s="218" t="s">
        <v>18</v>
      </c>
      <c r="V18" s="203" t="s">
        <v>43</v>
      </c>
    </row>
    <row r="19" s="174" customFormat="1" ht="27.75" customHeight="1" spans="1:22">
      <c r="A19" s="202">
        <v>14</v>
      </c>
      <c r="B19" s="203" t="s">
        <v>44</v>
      </c>
      <c r="C19" s="198"/>
      <c r="D19" s="199"/>
      <c r="E19" s="201">
        <f t="shared" si="4"/>
        <v>0</v>
      </c>
      <c r="F19" s="201">
        <f t="shared" si="5"/>
        <v>0</v>
      </c>
      <c r="G19" s="204">
        <v>0</v>
      </c>
      <c r="H19" s="204">
        <v>0</v>
      </c>
      <c r="I19" s="204">
        <v>0</v>
      </c>
      <c r="J19" s="204">
        <v>0</v>
      </c>
      <c r="K19" s="204">
        <v>0</v>
      </c>
      <c r="L19" s="204">
        <v>0</v>
      </c>
      <c r="M19" s="204">
        <v>0</v>
      </c>
      <c r="N19" s="204">
        <v>0</v>
      </c>
      <c r="O19" s="204">
        <v>0</v>
      </c>
      <c r="P19" s="204">
        <v>0</v>
      </c>
      <c r="Q19" s="204">
        <v>0</v>
      </c>
      <c r="R19" s="204">
        <v>0</v>
      </c>
      <c r="S19" s="204"/>
      <c r="T19" s="202" t="s">
        <v>40</v>
      </c>
      <c r="U19" s="218" t="s">
        <v>18</v>
      </c>
      <c r="V19" s="203" t="s">
        <v>45</v>
      </c>
    </row>
    <row r="20" s="174" customFormat="1" ht="30.75" customHeight="1" spans="1:22">
      <c r="A20" s="202">
        <v>15</v>
      </c>
      <c r="B20" s="203" t="s">
        <v>46</v>
      </c>
      <c r="C20" s="198">
        <v>533483.25</v>
      </c>
      <c r="D20" s="199">
        <v>69657.5</v>
      </c>
      <c r="E20" s="201">
        <f t="shared" si="4"/>
        <v>603140.75</v>
      </c>
      <c r="F20" s="201">
        <f t="shared" si="5"/>
        <v>757104</v>
      </c>
      <c r="G20" s="204">
        <v>63092</v>
      </c>
      <c r="H20" s="204">
        <v>63092</v>
      </c>
      <c r="I20" s="204">
        <v>63092</v>
      </c>
      <c r="J20" s="204">
        <v>63092</v>
      </c>
      <c r="K20" s="204">
        <v>63092</v>
      </c>
      <c r="L20" s="204">
        <v>63092</v>
      </c>
      <c r="M20" s="204">
        <v>63092</v>
      </c>
      <c r="N20" s="204">
        <v>63092</v>
      </c>
      <c r="O20" s="204">
        <v>63092</v>
      </c>
      <c r="P20" s="204">
        <v>63092</v>
      </c>
      <c r="Q20" s="204">
        <v>63092</v>
      </c>
      <c r="R20" s="204">
        <v>63092</v>
      </c>
      <c r="S20" s="204"/>
      <c r="T20" s="202" t="s">
        <v>40</v>
      </c>
      <c r="U20" s="218" t="s">
        <v>18</v>
      </c>
      <c r="V20" s="203" t="s">
        <v>47</v>
      </c>
    </row>
    <row r="21" s="174" customFormat="1" ht="23.25" customHeight="1" spans="1:24">
      <c r="A21" s="202">
        <v>16</v>
      </c>
      <c r="B21" s="203" t="s">
        <v>48</v>
      </c>
      <c r="C21" s="198"/>
      <c r="D21" s="199"/>
      <c r="E21" s="201">
        <f t="shared" si="4"/>
        <v>0</v>
      </c>
      <c r="F21" s="201">
        <f>G21+J21+K21+L21+M21+N21+O21+P21+Q21+R21+S21+T21</f>
        <v>2740</v>
      </c>
      <c r="G21" s="204">
        <v>100</v>
      </c>
      <c r="H21" s="204">
        <v>100</v>
      </c>
      <c r="I21" s="204">
        <v>200</v>
      </c>
      <c r="J21" s="204">
        <v>260</v>
      </c>
      <c r="K21" s="204">
        <v>260</v>
      </c>
      <c r="L21" s="204">
        <v>360</v>
      </c>
      <c r="M21" s="204">
        <v>260</v>
      </c>
      <c r="N21" s="204">
        <v>260</v>
      </c>
      <c r="O21" s="204">
        <v>360</v>
      </c>
      <c r="P21" s="204">
        <v>260</v>
      </c>
      <c r="Q21" s="204">
        <v>260</v>
      </c>
      <c r="R21" s="204">
        <v>360</v>
      </c>
      <c r="S21" s="204"/>
      <c r="T21" s="204"/>
      <c r="U21" s="204"/>
      <c r="V21" s="202" t="s">
        <v>40</v>
      </c>
      <c r="W21" s="218" t="s">
        <v>18</v>
      </c>
      <c r="X21" s="203" t="s">
        <v>49</v>
      </c>
    </row>
    <row r="22" s="174" customFormat="1" ht="23.25" customHeight="1" spans="1:22">
      <c r="A22" s="202">
        <v>17</v>
      </c>
      <c r="B22" s="203" t="s">
        <v>50</v>
      </c>
      <c r="C22" s="198"/>
      <c r="D22" s="199"/>
      <c r="E22" s="201">
        <f t="shared" si="4"/>
        <v>0</v>
      </c>
      <c r="F22" s="201">
        <f>G22+H22+I22+J22+K22+L22+M22+N22+O22+P22+Q22+R22</f>
        <v>10080</v>
      </c>
      <c r="G22" s="204">
        <v>840</v>
      </c>
      <c r="H22" s="204">
        <v>840</v>
      </c>
      <c r="I22" s="204">
        <v>840</v>
      </c>
      <c r="J22" s="204">
        <v>840</v>
      </c>
      <c r="K22" s="204">
        <v>840</v>
      </c>
      <c r="L22" s="204">
        <v>840</v>
      </c>
      <c r="M22" s="204">
        <v>840</v>
      </c>
      <c r="N22" s="204">
        <v>840</v>
      </c>
      <c r="O22" s="204">
        <v>840</v>
      </c>
      <c r="P22" s="204">
        <v>840</v>
      </c>
      <c r="Q22" s="204">
        <v>840</v>
      </c>
      <c r="R22" s="204">
        <v>840</v>
      </c>
      <c r="S22" s="204"/>
      <c r="T22" s="202" t="s">
        <v>40</v>
      </c>
      <c r="U22" s="218" t="s">
        <v>18</v>
      </c>
      <c r="V22" s="203" t="s">
        <v>51</v>
      </c>
    </row>
    <row r="23" s="172" customFormat="1" ht="23.25" customHeight="1" spans="1:22">
      <c r="A23" s="193">
        <v>18</v>
      </c>
      <c r="B23" s="194" t="s">
        <v>52</v>
      </c>
      <c r="C23" s="205">
        <f t="shared" ref="C23:R23" si="6">C24+C25+C26+C27+C28</f>
        <v>48675.8959223301</v>
      </c>
      <c r="D23" s="205">
        <f t="shared" si="6"/>
        <v>5751.43922330097</v>
      </c>
      <c r="E23" s="205">
        <f t="shared" si="6"/>
        <v>54427.3351456311</v>
      </c>
      <c r="F23" s="205">
        <f t="shared" si="6"/>
        <v>134269.514563107</v>
      </c>
      <c r="G23" s="205">
        <f t="shared" si="6"/>
        <v>11189.1262135922</v>
      </c>
      <c r="H23" s="205">
        <f t="shared" si="6"/>
        <v>11189.1262135922</v>
      </c>
      <c r="I23" s="205">
        <f t="shared" si="6"/>
        <v>11189.1262135922</v>
      </c>
      <c r="J23" s="205">
        <f t="shared" si="6"/>
        <v>11189.1262135922</v>
      </c>
      <c r="K23" s="205">
        <f t="shared" si="6"/>
        <v>11189.1262135922</v>
      </c>
      <c r="L23" s="205">
        <f t="shared" si="6"/>
        <v>11189.1262135922</v>
      </c>
      <c r="M23" s="205">
        <f t="shared" si="6"/>
        <v>11189.1262135922</v>
      </c>
      <c r="N23" s="205">
        <f t="shared" si="6"/>
        <v>11189.1262135922</v>
      </c>
      <c r="O23" s="205">
        <f t="shared" si="6"/>
        <v>11189.1262135922</v>
      </c>
      <c r="P23" s="205">
        <f t="shared" si="6"/>
        <v>11189.1262135922</v>
      </c>
      <c r="Q23" s="205">
        <f t="shared" si="6"/>
        <v>11189.1262135922</v>
      </c>
      <c r="R23" s="205">
        <f t="shared" si="6"/>
        <v>11189.1262135922</v>
      </c>
      <c r="S23" s="195"/>
      <c r="T23" s="193"/>
      <c r="U23" s="193" t="s">
        <v>18</v>
      </c>
      <c r="V23" s="194" t="s">
        <v>53</v>
      </c>
    </row>
    <row r="24" s="173" customFormat="1" ht="23.25" customHeight="1" spans="1:22">
      <c r="A24" s="196">
        <v>19</v>
      </c>
      <c r="B24" s="197" t="s">
        <v>54</v>
      </c>
      <c r="C24" s="206">
        <f>(C7+C11)/1.03*0.03</f>
        <v>43460.6213592233</v>
      </c>
      <c r="D24" s="206">
        <f>(D7+D11)/1.03*0.03</f>
        <v>5135.21359223301</v>
      </c>
      <c r="E24" s="205">
        <f t="shared" ref="E24:E28" si="7">C24+D24</f>
        <v>48595.8349514563</v>
      </c>
      <c r="F24" s="205">
        <f t="shared" ref="F24:F28" si="8">G24+H24+I24+J24+K24+L24+M24+N24+O24+P24+Q24+R24</f>
        <v>119883.495145631</v>
      </c>
      <c r="G24" s="206">
        <f>(G7+G11)/1.03*0.06</f>
        <v>9990.29126213592</v>
      </c>
      <c r="H24" s="206">
        <f t="shared" ref="H24:R24" si="9">(H7+H11)/1.03*0.06</f>
        <v>9990.29126213592</v>
      </c>
      <c r="I24" s="206">
        <f t="shared" si="9"/>
        <v>9990.29126213592</v>
      </c>
      <c r="J24" s="206">
        <f t="shared" si="9"/>
        <v>9990.29126213592</v>
      </c>
      <c r="K24" s="206">
        <f t="shared" si="9"/>
        <v>9990.29126213592</v>
      </c>
      <c r="L24" s="206">
        <f t="shared" si="9"/>
        <v>9990.29126213592</v>
      </c>
      <c r="M24" s="206">
        <f t="shared" si="9"/>
        <v>9990.29126213592</v>
      </c>
      <c r="N24" s="206">
        <f t="shared" si="9"/>
        <v>9990.29126213592</v>
      </c>
      <c r="O24" s="206">
        <f t="shared" si="9"/>
        <v>9990.29126213592</v>
      </c>
      <c r="P24" s="206">
        <f t="shared" si="9"/>
        <v>9990.29126213592</v>
      </c>
      <c r="Q24" s="206">
        <f t="shared" si="9"/>
        <v>9990.29126213592</v>
      </c>
      <c r="R24" s="206">
        <f t="shared" si="9"/>
        <v>9990.29126213592</v>
      </c>
      <c r="S24" s="200"/>
      <c r="T24" s="207" t="s">
        <v>17</v>
      </c>
      <c r="U24" s="207" t="s">
        <v>18</v>
      </c>
      <c r="V24" s="197" t="s">
        <v>55</v>
      </c>
    </row>
    <row r="25" s="173" customFormat="1" ht="23.25" customHeight="1" spans="1:22">
      <c r="A25" s="196">
        <v>21</v>
      </c>
      <c r="B25" s="197" t="s">
        <v>56</v>
      </c>
      <c r="C25" s="206">
        <f>C24*0.07</f>
        <v>3042.24349514563</v>
      </c>
      <c r="D25" s="206">
        <f>D24*0.07</f>
        <v>359.464951456311</v>
      </c>
      <c r="E25" s="205">
        <f t="shared" si="7"/>
        <v>3401.70844660194</v>
      </c>
      <c r="F25" s="205">
        <f t="shared" si="8"/>
        <v>8391.84466019417</v>
      </c>
      <c r="G25" s="206">
        <f t="shared" ref="G25:R25" si="10">G24*0.07</f>
        <v>699.320388349515</v>
      </c>
      <c r="H25" s="206">
        <f t="shared" si="10"/>
        <v>699.320388349515</v>
      </c>
      <c r="I25" s="206">
        <f t="shared" si="10"/>
        <v>699.320388349515</v>
      </c>
      <c r="J25" s="206">
        <f t="shared" si="10"/>
        <v>699.320388349515</v>
      </c>
      <c r="K25" s="206">
        <f t="shared" si="10"/>
        <v>699.320388349515</v>
      </c>
      <c r="L25" s="206">
        <f t="shared" si="10"/>
        <v>699.320388349515</v>
      </c>
      <c r="M25" s="206">
        <f t="shared" si="10"/>
        <v>699.320388349515</v>
      </c>
      <c r="N25" s="206">
        <f t="shared" si="10"/>
        <v>699.320388349515</v>
      </c>
      <c r="O25" s="206">
        <f t="shared" si="10"/>
        <v>699.320388349515</v>
      </c>
      <c r="P25" s="206">
        <f t="shared" si="10"/>
        <v>699.320388349515</v>
      </c>
      <c r="Q25" s="206">
        <f t="shared" si="10"/>
        <v>699.320388349515</v>
      </c>
      <c r="R25" s="206">
        <f t="shared" si="10"/>
        <v>699.320388349515</v>
      </c>
      <c r="S25" s="200"/>
      <c r="T25" s="207" t="s">
        <v>17</v>
      </c>
      <c r="U25" s="207" t="s">
        <v>18</v>
      </c>
      <c r="V25" s="197" t="s">
        <v>57</v>
      </c>
    </row>
    <row r="26" s="173" customFormat="1" ht="23.25" customHeight="1" spans="1:22">
      <c r="A26" s="207">
        <v>21</v>
      </c>
      <c r="B26" s="197" t="s">
        <v>58</v>
      </c>
      <c r="C26" s="206">
        <f>C24*0.03</f>
        <v>1303.8186407767</v>
      </c>
      <c r="D26" s="206">
        <f>D24*0.03</f>
        <v>154.05640776699</v>
      </c>
      <c r="E26" s="205">
        <f t="shared" si="7"/>
        <v>1457.87504854369</v>
      </c>
      <c r="F26" s="205">
        <f t="shared" si="8"/>
        <v>3596.50485436893</v>
      </c>
      <c r="G26" s="206">
        <f t="shared" ref="G26:R26" si="11">G24*0.03</f>
        <v>299.708737864078</v>
      </c>
      <c r="H26" s="206">
        <f t="shared" si="11"/>
        <v>299.708737864078</v>
      </c>
      <c r="I26" s="206">
        <f t="shared" si="11"/>
        <v>299.708737864078</v>
      </c>
      <c r="J26" s="206">
        <f t="shared" si="11"/>
        <v>299.708737864078</v>
      </c>
      <c r="K26" s="206">
        <f t="shared" si="11"/>
        <v>299.708737864078</v>
      </c>
      <c r="L26" s="206">
        <f t="shared" si="11"/>
        <v>299.708737864078</v>
      </c>
      <c r="M26" s="206">
        <f t="shared" si="11"/>
        <v>299.708737864078</v>
      </c>
      <c r="N26" s="206">
        <f t="shared" si="11"/>
        <v>299.708737864078</v>
      </c>
      <c r="O26" s="206">
        <f t="shared" si="11"/>
        <v>299.708737864078</v>
      </c>
      <c r="P26" s="206">
        <f t="shared" si="11"/>
        <v>299.708737864078</v>
      </c>
      <c r="Q26" s="206">
        <f t="shared" si="11"/>
        <v>299.708737864078</v>
      </c>
      <c r="R26" s="206">
        <f t="shared" si="11"/>
        <v>299.708737864078</v>
      </c>
      <c r="S26" s="200"/>
      <c r="T26" s="207" t="s">
        <v>17</v>
      </c>
      <c r="U26" s="207" t="s">
        <v>18</v>
      </c>
      <c r="V26" s="197" t="s">
        <v>57</v>
      </c>
    </row>
    <row r="27" s="173" customFormat="1" ht="23.25" customHeight="1" spans="1:22">
      <c r="A27" s="196">
        <v>22</v>
      </c>
      <c r="B27" s="197" t="s">
        <v>59</v>
      </c>
      <c r="C27" s="206">
        <f>C24*0.02</f>
        <v>869.212427184466</v>
      </c>
      <c r="D27" s="206">
        <f>D24*0.02</f>
        <v>102.70427184466</v>
      </c>
      <c r="E27" s="205">
        <f t="shared" si="7"/>
        <v>971.916699029126</v>
      </c>
      <c r="F27" s="205">
        <f t="shared" si="8"/>
        <v>2397.66990291262</v>
      </c>
      <c r="G27" s="206">
        <f t="shared" ref="G27:R27" si="12">G24*0.02</f>
        <v>199.805825242718</v>
      </c>
      <c r="H27" s="206">
        <f t="shared" si="12"/>
        <v>199.805825242718</v>
      </c>
      <c r="I27" s="206">
        <f t="shared" si="12"/>
        <v>199.805825242718</v>
      </c>
      <c r="J27" s="206">
        <f t="shared" si="12"/>
        <v>199.805825242718</v>
      </c>
      <c r="K27" s="206">
        <f t="shared" si="12"/>
        <v>199.805825242718</v>
      </c>
      <c r="L27" s="206">
        <f t="shared" si="12"/>
        <v>199.805825242718</v>
      </c>
      <c r="M27" s="206">
        <f t="shared" si="12"/>
        <v>199.805825242718</v>
      </c>
      <c r="N27" s="206">
        <f t="shared" si="12"/>
        <v>199.805825242718</v>
      </c>
      <c r="O27" s="206">
        <f t="shared" si="12"/>
        <v>199.805825242718</v>
      </c>
      <c r="P27" s="206">
        <f t="shared" si="12"/>
        <v>199.805825242718</v>
      </c>
      <c r="Q27" s="206">
        <f t="shared" si="12"/>
        <v>199.805825242718</v>
      </c>
      <c r="R27" s="206">
        <f t="shared" si="12"/>
        <v>199.805825242718</v>
      </c>
      <c r="S27" s="200"/>
      <c r="T27" s="207" t="s">
        <v>17</v>
      </c>
      <c r="U27" s="207" t="s">
        <v>18</v>
      </c>
      <c r="V27" s="197" t="s">
        <v>57</v>
      </c>
    </row>
    <row r="28" s="173" customFormat="1" ht="23.25" customHeight="1" spans="1:22">
      <c r="A28" s="207">
        <v>23</v>
      </c>
      <c r="B28" s="197" t="s">
        <v>60</v>
      </c>
      <c r="C28" s="200"/>
      <c r="D28" s="200"/>
      <c r="E28" s="195">
        <f t="shared" si="7"/>
        <v>0</v>
      </c>
      <c r="F28" s="195">
        <f t="shared" si="8"/>
        <v>0</v>
      </c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7" t="s">
        <v>17</v>
      </c>
      <c r="U28" s="207" t="s">
        <v>18</v>
      </c>
      <c r="V28" s="197" t="s">
        <v>51</v>
      </c>
    </row>
    <row r="29" s="172" customFormat="1" ht="23.25" customHeight="1" spans="1:22">
      <c r="A29" s="193">
        <v>24</v>
      </c>
      <c r="B29" s="194" t="s">
        <v>61</v>
      </c>
      <c r="C29" s="195">
        <f t="shared" ref="C29:R29" si="13">C6-C14-C23</f>
        <v>590864.08407767</v>
      </c>
      <c r="D29" s="195">
        <f t="shared" si="13"/>
        <v>59953.530776699</v>
      </c>
      <c r="E29" s="195">
        <f t="shared" si="13"/>
        <v>650817.614854369</v>
      </c>
      <c r="F29" s="195">
        <f t="shared" si="13"/>
        <v>431535.995436893</v>
      </c>
      <c r="G29" s="195">
        <f t="shared" si="13"/>
        <v>36502.2137864078</v>
      </c>
      <c r="H29" s="195">
        <f t="shared" si="13"/>
        <v>28942.2137864078</v>
      </c>
      <c r="I29" s="195">
        <f t="shared" si="13"/>
        <v>31653.2137864078</v>
      </c>
      <c r="J29" s="195">
        <f t="shared" si="13"/>
        <v>35752.2137864078</v>
      </c>
      <c r="K29" s="195">
        <f t="shared" si="13"/>
        <v>37885.8237864078</v>
      </c>
      <c r="L29" s="195">
        <f t="shared" si="13"/>
        <v>37345.3737864078</v>
      </c>
      <c r="M29" s="195">
        <f t="shared" si="13"/>
        <v>37785.8237864078</v>
      </c>
      <c r="N29" s="195">
        <f t="shared" si="13"/>
        <v>37805.8237864078</v>
      </c>
      <c r="O29" s="195">
        <f t="shared" si="13"/>
        <v>34845.8237864078</v>
      </c>
      <c r="P29" s="195">
        <f t="shared" si="13"/>
        <v>37445.8237864078</v>
      </c>
      <c r="Q29" s="195">
        <f t="shared" si="13"/>
        <v>37825.8237864078</v>
      </c>
      <c r="R29" s="195">
        <f t="shared" si="13"/>
        <v>37745.8237864078</v>
      </c>
      <c r="S29" s="195"/>
      <c r="T29" s="193"/>
      <c r="U29" s="193" t="s">
        <v>18</v>
      </c>
      <c r="V29" s="194"/>
    </row>
    <row r="30" s="172" customFormat="1" ht="41.25" customHeight="1" spans="1:22">
      <c r="A30" s="193">
        <v>25</v>
      </c>
      <c r="B30" s="194" t="s">
        <v>62</v>
      </c>
      <c r="C30" s="208">
        <f t="shared" ref="C30:R30" si="14">C31+C32+C33+C34+C35+C38++C41+C47+C48+C49+C50+C51+C52</f>
        <v>227102.69</v>
      </c>
      <c r="D30" s="208">
        <f t="shared" si="14"/>
        <v>9511.08</v>
      </c>
      <c r="E30" s="208">
        <f t="shared" si="14"/>
        <v>236613.77</v>
      </c>
      <c r="F30" s="208">
        <f t="shared" si="14"/>
        <v>166669.42</v>
      </c>
      <c r="G30" s="208">
        <f t="shared" si="14"/>
        <v>17437.22</v>
      </c>
      <c r="H30" s="208">
        <f t="shared" si="14"/>
        <v>28243.61</v>
      </c>
      <c r="I30" s="208">
        <f t="shared" si="14"/>
        <v>12883.61</v>
      </c>
      <c r="J30" s="208">
        <f t="shared" si="14"/>
        <v>10767.22</v>
      </c>
      <c r="K30" s="208">
        <f t="shared" si="14"/>
        <v>10767.22</v>
      </c>
      <c r="L30" s="208">
        <f t="shared" si="14"/>
        <v>13027.22</v>
      </c>
      <c r="M30" s="208">
        <f t="shared" si="14"/>
        <v>10967.22</v>
      </c>
      <c r="N30" s="208">
        <f t="shared" si="14"/>
        <v>10767.22</v>
      </c>
      <c r="O30" s="208">
        <f t="shared" si="14"/>
        <v>12287.22</v>
      </c>
      <c r="P30" s="208">
        <f t="shared" si="14"/>
        <v>16787.22</v>
      </c>
      <c r="Q30" s="208">
        <f t="shared" si="14"/>
        <v>10767.22</v>
      </c>
      <c r="R30" s="208">
        <f t="shared" si="14"/>
        <v>11967.22</v>
      </c>
      <c r="S30" s="195"/>
      <c r="T30" s="193"/>
      <c r="U30" s="193" t="s">
        <v>18</v>
      </c>
      <c r="V30" s="194" t="s">
        <v>63</v>
      </c>
    </row>
    <row r="31" s="173" customFormat="1" ht="27.75" customHeight="1" spans="1:22">
      <c r="A31" s="196">
        <v>26</v>
      </c>
      <c r="B31" s="197" t="s">
        <v>64</v>
      </c>
      <c r="C31" s="200"/>
      <c r="D31" s="200"/>
      <c r="E31" s="195">
        <f>C31+D31</f>
        <v>0</v>
      </c>
      <c r="F31" s="195">
        <f>G31+H31+I31+J31+K31+L31+M31+N31+O31+P31+Q31+R31</f>
        <v>97700</v>
      </c>
      <c r="G31" s="200">
        <v>10400</v>
      </c>
      <c r="H31" s="200">
        <v>7300</v>
      </c>
      <c r="I31" s="200">
        <v>8000</v>
      </c>
      <c r="J31" s="200">
        <v>8000</v>
      </c>
      <c r="K31" s="200">
        <v>8000</v>
      </c>
      <c r="L31" s="200">
        <v>8000</v>
      </c>
      <c r="M31" s="200">
        <v>8000</v>
      </c>
      <c r="N31" s="200">
        <v>8000</v>
      </c>
      <c r="O31" s="200">
        <v>8000</v>
      </c>
      <c r="P31" s="200">
        <v>8000</v>
      </c>
      <c r="Q31" s="200">
        <v>8000</v>
      </c>
      <c r="R31" s="200">
        <v>8000</v>
      </c>
      <c r="S31" s="200"/>
      <c r="T31" s="196" t="s">
        <v>35</v>
      </c>
      <c r="U31" s="207" t="s">
        <v>18</v>
      </c>
      <c r="V31" s="197" t="s">
        <v>65</v>
      </c>
    </row>
    <row r="32" s="173" customFormat="1" ht="27" customHeight="1" spans="1:22">
      <c r="A32" s="196">
        <v>27</v>
      </c>
      <c r="B32" s="197" t="s">
        <v>66</v>
      </c>
      <c r="C32" s="200"/>
      <c r="D32" s="200"/>
      <c r="E32" s="195">
        <f>C32+D32</f>
        <v>0</v>
      </c>
      <c r="F32" s="195">
        <f>G32+H32+I32+J32+K32+L32+M32+N32+O32+P32+Q32+R32</f>
        <v>24939.42</v>
      </c>
      <c r="G32" s="200">
        <v>2267.22</v>
      </c>
      <c r="H32" s="200">
        <v>1133.61</v>
      </c>
      <c r="I32" s="200">
        <v>1133.61</v>
      </c>
      <c r="J32" s="200">
        <v>2267.22</v>
      </c>
      <c r="K32" s="200">
        <v>2267.22</v>
      </c>
      <c r="L32" s="200">
        <v>2267.22</v>
      </c>
      <c r="M32" s="200">
        <v>2267.22</v>
      </c>
      <c r="N32" s="200">
        <v>2267.22</v>
      </c>
      <c r="O32" s="200">
        <v>2267.22</v>
      </c>
      <c r="P32" s="200">
        <v>2267.22</v>
      </c>
      <c r="Q32" s="200">
        <v>2267.22</v>
      </c>
      <c r="R32" s="200">
        <v>2267.22</v>
      </c>
      <c r="S32" s="200"/>
      <c r="T32" s="196" t="s">
        <v>35</v>
      </c>
      <c r="U32" s="207" t="s">
        <v>18</v>
      </c>
      <c r="V32" s="197" t="s">
        <v>67</v>
      </c>
    </row>
    <row r="33" s="173" customFormat="1" ht="30.75" customHeight="1" spans="1:22">
      <c r="A33" s="196">
        <v>28</v>
      </c>
      <c r="B33" s="197" t="s">
        <v>68</v>
      </c>
      <c r="C33" s="200"/>
      <c r="D33" s="200"/>
      <c r="E33" s="195">
        <f>C33+D33</f>
        <v>0</v>
      </c>
      <c r="F33" s="195">
        <f>G33+H33+I33+J33+K33+L33+M33+N33+O33+P33+Q33+R33</f>
        <v>990</v>
      </c>
      <c r="G33" s="200">
        <v>0</v>
      </c>
      <c r="H33" s="200">
        <v>540</v>
      </c>
      <c r="I33" s="200">
        <v>50</v>
      </c>
      <c r="J33" s="200">
        <v>0</v>
      </c>
      <c r="K33" s="200">
        <v>0</v>
      </c>
      <c r="L33" s="200">
        <v>60</v>
      </c>
      <c r="M33" s="200">
        <v>0</v>
      </c>
      <c r="N33" s="200">
        <v>0</v>
      </c>
      <c r="O33" s="200">
        <v>320</v>
      </c>
      <c r="P33" s="200">
        <v>20</v>
      </c>
      <c r="Q33" s="200">
        <v>0</v>
      </c>
      <c r="R33" s="200">
        <v>0</v>
      </c>
      <c r="S33" s="200"/>
      <c r="T33" s="196" t="s">
        <v>35</v>
      </c>
      <c r="U33" s="207" t="s">
        <v>18</v>
      </c>
      <c r="V33" s="197" t="s">
        <v>69</v>
      </c>
    </row>
    <row r="34" s="174" customFormat="1" ht="36.75" customHeight="1" spans="1:22">
      <c r="A34" s="202">
        <v>29</v>
      </c>
      <c r="B34" s="203" t="s">
        <v>70</v>
      </c>
      <c r="C34" s="204"/>
      <c r="D34" s="204"/>
      <c r="E34" s="201">
        <f>C34+D34</f>
        <v>0</v>
      </c>
      <c r="F34" s="201">
        <f>G34+H34+I34+J34+K34+L34+M34+N34+O34+P34+Q34+R34</f>
        <v>0</v>
      </c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2" t="s">
        <v>40</v>
      </c>
      <c r="U34" s="218" t="s">
        <v>18</v>
      </c>
      <c r="V34" s="203" t="s">
        <v>71</v>
      </c>
    </row>
    <row r="35" s="175" customFormat="1" ht="25.5" customHeight="1" spans="1:22">
      <c r="A35" s="209">
        <v>30</v>
      </c>
      <c r="B35" s="210" t="s">
        <v>72</v>
      </c>
      <c r="C35" s="211">
        <f t="shared" ref="C35:R35" si="15">C36+C37</f>
        <v>0</v>
      </c>
      <c r="D35" s="211">
        <f t="shared" si="15"/>
        <v>0</v>
      </c>
      <c r="E35" s="211">
        <f t="shared" si="15"/>
        <v>0</v>
      </c>
      <c r="F35" s="211">
        <f t="shared" si="15"/>
        <v>2200</v>
      </c>
      <c r="G35" s="211">
        <f t="shared" si="15"/>
        <v>2200</v>
      </c>
      <c r="H35" s="211">
        <f t="shared" si="15"/>
        <v>0</v>
      </c>
      <c r="I35" s="211">
        <f t="shared" si="15"/>
        <v>0</v>
      </c>
      <c r="J35" s="211">
        <f t="shared" si="15"/>
        <v>0</v>
      </c>
      <c r="K35" s="211">
        <f t="shared" si="15"/>
        <v>0</v>
      </c>
      <c r="L35" s="211">
        <f t="shared" si="15"/>
        <v>0</v>
      </c>
      <c r="M35" s="211">
        <f t="shared" si="15"/>
        <v>0</v>
      </c>
      <c r="N35" s="211">
        <f t="shared" si="15"/>
        <v>0</v>
      </c>
      <c r="O35" s="211">
        <f t="shared" si="15"/>
        <v>0</v>
      </c>
      <c r="P35" s="211">
        <f t="shared" si="15"/>
        <v>0</v>
      </c>
      <c r="Q35" s="211">
        <f t="shared" si="15"/>
        <v>0</v>
      </c>
      <c r="R35" s="211">
        <f t="shared" si="15"/>
        <v>0</v>
      </c>
      <c r="S35" s="201"/>
      <c r="T35" s="209" t="s">
        <v>40</v>
      </c>
      <c r="U35" s="209" t="s">
        <v>18</v>
      </c>
      <c r="V35" s="210" t="s">
        <v>73</v>
      </c>
    </row>
    <row r="36" s="176" customFormat="1" ht="25.5" customHeight="1" spans="1:22">
      <c r="A36" s="207"/>
      <c r="B36" s="212" t="s">
        <v>74</v>
      </c>
      <c r="C36" s="213"/>
      <c r="D36" s="214"/>
      <c r="E36" s="213">
        <f>C36+D36</f>
        <v>0</v>
      </c>
      <c r="F36" s="215">
        <f>G36+H36+I36+J36+K36+L36+M36+N36+O36+P36+Q36+R36</f>
        <v>2200</v>
      </c>
      <c r="G36" s="215">
        <v>2200</v>
      </c>
      <c r="H36" s="215">
        <v>0</v>
      </c>
      <c r="I36" s="215">
        <v>0</v>
      </c>
      <c r="J36" s="215">
        <v>0</v>
      </c>
      <c r="K36" s="215">
        <v>0</v>
      </c>
      <c r="L36" s="215">
        <v>0</v>
      </c>
      <c r="M36" s="215">
        <v>0</v>
      </c>
      <c r="N36" s="215">
        <v>0</v>
      </c>
      <c r="O36" s="215">
        <v>0</v>
      </c>
      <c r="P36" s="215">
        <v>0</v>
      </c>
      <c r="Q36" s="215">
        <v>0</v>
      </c>
      <c r="R36" s="215">
        <v>0</v>
      </c>
      <c r="S36" s="215"/>
      <c r="T36" s="207"/>
      <c r="U36" s="207"/>
      <c r="V36" s="212"/>
    </row>
    <row r="37" s="176" customFormat="1" ht="25.5" customHeight="1" spans="1:22">
      <c r="A37" s="207"/>
      <c r="B37" s="212" t="s">
        <v>75</v>
      </c>
      <c r="C37" s="213"/>
      <c r="D37" s="214"/>
      <c r="E37" s="213">
        <f>C37+D37</f>
        <v>0</v>
      </c>
      <c r="F37" s="215">
        <f>G37+H37+I37+J37+K37+L37+M37+N37+O37+P37+Q37+R37</f>
        <v>0</v>
      </c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07"/>
      <c r="U37" s="207"/>
      <c r="V37" s="212"/>
    </row>
    <row r="38" s="172" customFormat="1" ht="25.5" customHeight="1" spans="1:22">
      <c r="A38" s="193">
        <v>31</v>
      </c>
      <c r="B38" s="194" t="s">
        <v>76</v>
      </c>
      <c r="C38" s="208">
        <f t="shared" ref="C38:R38" si="16">C39+C40</f>
        <v>1620</v>
      </c>
      <c r="D38" s="208">
        <f t="shared" si="16"/>
        <v>0</v>
      </c>
      <c r="E38" s="208">
        <f t="shared" si="16"/>
        <v>1620</v>
      </c>
      <c r="F38" s="208">
        <f t="shared" si="16"/>
        <v>0</v>
      </c>
      <c r="G38" s="208">
        <f t="shared" si="16"/>
        <v>0</v>
      </c>
      <c r="H38" s="208">
        <f t="shared" si="16"/>
        <v>0</v>
      </c>
      <c r="I38" s="208">
        <f t="shared" si="16"/>
        <v>0</v>
      </c>
      <c r="J38" s="208">
        <f t="shared" si="16"/>
        <v>0</v>
      </c>
      <c r="K38" s="208">
        <f t="shared" si="16"/>
        <v>0</v>
      </c>
      <c r="L38" s="208">
        <f t="shared" si="16"/>
        <v>0</v>
      </c>
      <c r="M38" s="208">
        <f t="shared" si="16"/>
        <v>0</v>
      </c>
      <c r="N38" s="208">
        <f t="shared" si="16"/>
        <v>0</v>
      </c>
      <c r="O38" s="208">
        <f t="shared" si="16"/>
        <v>0</v>
      </c>
      <c r="P38" s="208">
        <f t="shared" si="16"/>
        <v>0</v>
      </c>
      <c r="Q38" s="208">
        <f t="shared" si="16"/>
        <v>0</v>
      </c>
      <c r="R38" s="208">
        <f t="shared" si="16"/>
        <v>0</v>
      </c>
      <c r="S38" s="195"/>
      <c r="T38" s="193"/>
      <c r="U38" s="193"/>
      <c r="V38" s="194"/>
    </row>
    <row r="39" s="176" customFormat="1" ht="25.5" customHeight="1" spans="1:22">
      <c r="A39" s="207"/>
      <c r="B39" s="212" t="s">
        <v>77</v>
      </c>
      <c r="C39" s="213"/>
      <c r="D39" s="214"/>
      <c r="E39" s="213">
        <f>C39+D39</f>
        <v>0</v>
      </c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07"/>
      <c r="U39" s="207"/>
      <c r="V39" s="212"/>
    </row>
    <row r="40" s="176" customFormat="1" ht="25.5" customHeight="1" spans="1:22">
      <c r="A40" s="207"/>
      <c r="B40" s="212" t="s">
        <v>78</v>
      </c>
      <c r="C40" s="213">
        <v>1620</v>
      </c>
      <c r="D40" s="214"/>
      <c r="E40" s="213">
        <f>C40+D40</f>
        <v>1620</v>
      </c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07"/>
      <c r="U40" s="207"/>
      <c r="V40" s="212"/>
    </row>
    <row r="41" s="172" customFormat="1" ht="34.5" customHeight="1" spans="1:22">
      <c r="A41" s="193">
        <v>32</v>
      </c>
      <c r="B41" s="216" t="s">
        <v>79</v>
      </c>
      <c r="C41" s="195">
        <f t="shared" ref="C41:R41" si="17">C42+C43+C44+C45+C46</f>
        <v>35565.8</v>
      </c>
      <c r="D41" s="195">
        <f t="shared" si="17"/>
        <v>0</v>
      </c>
      <c r="E41" s="195">
        <f t="shared" si="17"/>
        <v>35565.8</v>
      </c>
      <c r="F41" s="195">
        <f t="shared" si="17"/>
        <v>11400</v>
      </c>
      <c r="G41" s="195">
        <f t="shared" si="17"/>
        <v>1100</v>
      </c>
      <c r="H41" s="195">
        <f t="shared" si="17"/>
        <v>500</v>
      </c>
      <c r="I41" s="195">
        <f t="shared" si="17"/>
        <v>1700</v>
      </c>
      <c r="J41" s="195">
        <f t="shared" si="17"/>
        <v>500</v>
      </c>
      <c r="K41" s="195">
        <f t="shared" si="17"/>
        <v>500</v>
      </c>
      <c r="L41" s="195">
        <f t="shared" si="17"/>
        <v>1700</v>
      </c>
      <c r="M41" s="195">
        <f t="shared" si="17"/>
        <v>500</v>
      </c>
      <c r="N41" s="195">
        <f t="shared" si="17"/>
        <v>500</v>
      </c>
      <c r="O41" s="195">
        <f t="shared" si="17"/>
        <v>1700</v>
      </c>
      <c r="P41" s="195">
        <f t="shared" si="17"/>
        <v>500</v>
      </c>
      <c r="Q41" s="195">
        <f t="shared" si="17"/>
        <v>500</v>
      </c>
      <c r="R41" s="195">
        <f t="shared" si="17"/>
        <v>1700</v>
      </c>
      <c r="S41" s="195"/>
      <c r="T41" s="193"/>
      <c r="U41" s="193" t="s">
        <v>18</v>
      </c>
      <c r="V41" s="194" t="s">
        <v>80</v>
      </c>
    </row>
    <row r="42" s="174" customFormat="1" ht="27" customHeight="1" spans="1:22">
      <c r="A42" s="202"/>
      <c r="B42" s="217" t="s">
        <v>81</v>
      </c>
      <c r="C42" s="198">
        <v>7047.8</v>
      </c>
      <c r="D42" s="199"/>
      <c r="E42" s="201">
        <f t="shared" ref="E42:E52" si="18">C42+D42</f>
        <v>7047.8</v>
      </c>
      <c r="F42" s="201">
        <f>G42+H42+I42+J42+K42+L42+M42+N42+O42+P42+Q42+R42</f>
        <v>6000</v>
      </c>
      <c r="G42" s="204">
        <v>500</v>
      </c>
      <c r="H42" s="204">
        <v>500</v>
      </c>
      <c r="I42" s="204">
        <v>500</v>
      </c>
      <c r="J42" s="204">
        <v>500</v>
      </c>
      <c r="K42" s="204">
        <v>500</v>
      </c>
      <c r="L42" s="204">
        <v>500</v>
      </c>
      <c r="M42" s="204">
        <v>500</v>
      </c>
      <c r="N42" s="204">
        <v>500</v>
      </c>
      <c r="O42" s="204">
        <v>500</v>
      </c>
      <c r="P42" s="204">
        <v>500</v>
      </c>
      <c r="Q42" s="204">
        <v>500</v>
      </c>
      <c r="R42" s="204">
        <v>500</v>
      </c>
      <c r="S42" s="204"/>
      <c r="T42" s="224" t="s">
        <v>40</v>
      </c>
      <c r="U42" s="224" t="s">
        <v>18</v>
      </c>
      <c r="V42" s="203"/>
    </row>
    <row r="43" s="174" customFormat="1" ht="29.25" customHeight="1" spans="1:22">
      <c r="A43" s="202"/>
      <c r="B43" s="217" t="s">
        <v>82</v>
      </c>
      <c r="C43" s="198"/>
      <c r="D43" s="199"/>
      <c r="E43" s="201">
        <f t="shared" si="18"/>
        <v>0</v>
      </c>
      <c r="F43" s="201">
        <f>G43+H43+I43+J43+K43+L43+M43+N43+O43+P43+Q43+R43</f>
        <v>2400</v>
      </c>
      <c r="G43" s="204">
        <v>0</v>
      </c>
      <c r="H43" s="204">
        <v>0</v>
      </c>
      <c r="I43" s="204">
        <v>600</v>
      </c>
      <c r="J43" s="204">
        <v>0</v>
      </c>
      <c r="K43" s="204">
        <v>0</v>
      </c>
      <c r="L43" s="204">
        <v>600</v>
      </c>
      <c r="M43" s="204">
        <v>0</v>
      </c>
      <c r="N43" s="204">
        <v>0</v>
      </c>
      <c r="O43" s="204">
        <v>600</v>
      </c>
      <c r="P43" s="204">
        <v>0</v>
      </c>
      <c r="Q43" s="204">
        <v>0</v>
      </c>
      <c r="R43" s="204">
        <v>600</v>
      </c>
      <c r="S43" s="204"/>
      <c r="T43" s="224" t="s">
        <v>40</v>
      </c>
      <c r="U43" s="224" t="s">
        <v>18</v>
      </c>
      <c r="V43" s="203"/>
    </row>
    <row r="44" s="174" customFormat="1" ht="34.5" customHeight="1" spans="1:22">
      <c r="A44" s="202"/>
      <c r="B44" s="217" t="s">
        <v>83</v>
      </c>
      <c r="C44" s="198"/>
      <c r="D44" s="199"/>
      <c r="E44" s="201">
        <f t="shared" si="18"/>
        <v>0</v>
      </c>
      <c r="F44" s="201">
        <f>G44+H44+I44+J44+K44+L44+M44+N44+O44+P44+Q44+R44</f>
        <v>3000</v>
      </c>
      <c r="G44" s="204">
        <v>600</v>
      </c>
      <c r="H44" s="204">
        <v>0</v>
      </c>
      <c r="I44" s="204">
        <v>600</v>
      </c>
      <c r="J44" s="204">
        <v>0</v>
      </c>
      <c r="K44" s="204">
        <v>0</v>
      </c>
      <c r="L44" s="204">
        <v>600</v>
      </c>
      <c r="M44" s="204">
        <v>0</v>
      </c>
      <c r="N44" s="204">
        <v>0</v>
      </c>
      <c r="O44" s="204">
        <v>600</v>
      </c>
      <c r="P44" s="204">
        <v>0</v>
      </c>
      <c r="Q44" s="204">
        <v>0</v>
      </c>
      <c r="R44" s="204">
        <v>600</v>
      </c>
      <c r="S44" s="204"/>
      <c r="T44" s="224" t="s">
        <v>40</v>
      </c>
      <c r="U44" s="224" t="s">
        <v>18</v>
      </c>
      <c r="V44" s="203"/>
    </row>
    <row r="45" s="174" customFormat="1" ht="34.5" customHeight="1" spans="1:22">
      <c r="A45" s="202"/>
      <c r="B45" s="217" t="s">
        <v>84</v>
      </c>
      <c r="C45" s="198"/>
      <c r="D45" s="199"/>
      <c r="E45" s="201">
        <f t="shared" si="18"/>
        <v>0</v>
      </c>
      <c r="F45" s="201">
        <f>G45+H45+I45+J45+K45+L45+M45+N45+O45+P45+Q45+R45</f>
        <v>0</v>
      </c>
      <c r="G45" s="204">
        <v>0</v>
      </c>
      <c r="H45" s="204">
        <v>0</v>
      </c>
      <c r="I45" s="204">
        <v>0</v>
      </c>
      <c r="J45" s="204">
        <v>0</v>
      </c>
      <c r="K45" s="204">
        <v>0</v>
      </c>
      <c r="L45" s="204">
        <v>0</v>
      </c>
      <c r="M45" s="204">
        <v>0</v>
      </c>
      <c r="N45" s="204">
        <v>0</v>
      </c>
      <c r="O45" s="204">
        <v>0</v>
      </c>
      <c r="P45" s="204">
        <v>0</v>
      </c>
      <c r="Q45" s="204">
        <v>0</v>
      </c>
      <c r="R45" s="204">
        <v>0</v>
      </c>
      <c r="S45" s="204"/>
      <c r="T45" s="224" t="s">
        <v>40</v>
      </c>
      <c r="U45" s="224" t="s">
        <v>18</v>
      </c>
      <c r="V45" s="203"/>
    </row>
    <row r="46" s="174" customFormat="1" ht="34.5" customHeight="1" spans="1:22">
      <c r="A46" s="202"/>
      <c r="B46" s="217" t="s">
        <v>85</v>
      </c>
      <c r="C46" s="198">
        <v>28518</v>
      </c>
      <c r="D46" s="199"/>
      <c r="E46" s="201">
        <f t="shared" si="18"/>
        <v>28518</v>
      </c>
      <c r="F46" s="201">
        <v>0</v>
      </c>
      <c r="G46" s="204">
        <v>0</v>
      </c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24" t="s">
        <v>35</v>
      </c>
      <c r="U46" s="224" t="s">
        <v>18</v>
      </c>
      <c r="V46" s="203"/>
    </row>
    <row r="47" s="174" customFormat="1" ht="24.75" customHeight="1" spans="1:22">
      <c r="A47" s="202">
        <v>33</v>
      </c>
      <c r="B47" s="203" t="s">
        <v>86</v>
      </c>
      <c r="C47" s="198"/>
      <c r="D47" s="199"/>
      <c r="E47" s="201">
        <f t="shared" si="18"/>
        <v>0</v>
      </c>
      <c r="F47" s="201">
        <f t="shared" ref="F47:F52" si="19">G47+H47+I47+J47+K47+L47+M47+N47+O47+P47+Q47+R47</f>
        <v>0</v>
      </c>
      <c r="G47" s="204">
        <v>0</v>
      </c>
      <c r="H47" s="204">
        <v>0</v>
      </c>
      <c r="I47" s="204">
        <v>0</v>
      </c>
      <c r="J47" s="204">
        <v>0</v>
      </c>
      <c r="K47" s="204">
        <v>0</v>
      </c>
      <c r="L47" s="204">
        <v>0</v>
      </c>
      <c r="M47" s="204">
        <v>0</v>
      </c>
      <c r="N47" s="204">
        <v>0</v>
      </c>
      <c r="O47" s="204">
        <v>0</v>
      </c>
      <c r="P47" s="204">
        <v>0</v>
      </c>
      <c r="Q47" s="204">
        <v>0</v>
      </c>
      <c r="R47" s="204">
        <v>0</v>
      </c>
      <c r="S47" s="204"/>
      <c r="T47" s="202" t="s">
        <v>40</v>
      </c>
      <c r="U47" s="218" t="s">
        <v>18</v>
      </c>
      <c r="V47" s="203" t="s">
        <v>80</v>
      </c>
    </row>
    <row r="48" s="174" customFormat="1" ht="20.25" customHeight="1" spans="1:22">
      <c r="A48" s="218">
        <v>34</v>
      </c>
      <c r="B48" s="203" t="s">
        <v>87</v>
      </c>
      <c r="C48" s="198"/>
      <c r="D48" s="199"/>
      <c r="E48" s="201">
        <f t="shared" si="18"/>
        <v>0</v>
      </c>
      <c r="F48" s="201">
        <f t="shared" si="19"/>
        <v>0</v>
      </c>
      <c r="G48" s="204">
        <v>0</v>
      </c>
      <c r="H48" s="204">
        <v>0</v>
      </c>
      <c r="I48" s="204">
        <v>0</v>
      </c>
      <c r="J48" s="204">
        <v>0</v>
      </c>
      <c r="K48" s="204">
        <v>0</v>
      </c>
      <c r="L48" s="204">
        <v>0</v>
      </c>
      <c r="M48" s="204">
        <v>0</v>
      </c>
      <c r="N48" s="204">
        <v>0</v>
      </c>
      <c r="O48" s="204">
        <v>0</v>
      </c>
      <c r="P48" s="204">
        <v>0</v>
      </c>
      <c r="Q48" s="204">
        <v>0</v>
      </c>
      <c r="R48" s="204">
        <v>0</v>
      </c>
      <c r="S48" s="204"/>
      <c r="T48" s="202" t="s">
        <v>40</v>
      </c>
      <c r="U48" s="218" t="s">
        <v>18</v>
      </c>
      <c r="V48" s="203" t="s">
        <v>80</v>
      </c>
    </row>
    <row r="49" s="174" customFormat="1" ht="24" customHeight="1" spans="1:22">
      <c r="A49" s="202">
        <v>35</v>
      </c>
      <c r="B49" s="203" t="s">
        <v>88</v>
      </c>
      <c r="C49" s="198">
        <v>50494</v>
      </c>
      <c r="D49" s="199">
        <v>0</v>
      </c>
      <c r="E49" s="201">
        <f t="shared" si="18"/>
        <v>50494</v>
      </c>
      <c r="F49" s="201">
        <f t="shared" si="19"/>
        <v>17000</v>
      </c>
      <c r="G49" s="204">
        <v>0</v>
      </c>
      <c r="H49" s="204">
        <v>8000</v>
      </c>
      <c r="I49" s="204">
        <v>2000</v>
      </c>
      <c r="J49" s="204">
        <v>0</v>
      </c>
      <c r="K49" s="204">
        <v>0</v>
      </c>
      <c r="L49" s="204">
        <v>1000</v>
      </c>
      <c r="M49" s="204">
        <v>0</v>
      </c>
      <c r="N49" s="204">
        <v>0</v>
      </c>
      <c r="O49" s="204">
        <v>0</v>
      </c>
      <c r="P49" s="204">
        <v>6000</v>
      </c>
      <c r="Q49" s="204">
        <v>0</v>
      </c>
      <c r="R49" s="204">
        <v>0</v>
      </c>
      <c r="S49" s="204"/>
      <c r="T49" s="202" t="s">
        <v>40</v>
      </c>
      <c r="U49" s="218" t="s">
        <v>18</v>
      </c>
      <c r="V49" s="203" t="s">
        <v>80</v>
      </c>
    </row>
    <row r="50" s="174" customFormat="1" ht="23.25" customHeight="1" spans="1:22">
      <c r="A50" s="218">
        <v>36</v>
      </c>
      <c r="B50" s="203" t="s">
        <v>89</v>
      </c>
      <c r="C50" s="198">
        <v>0</v>
      </c>
      <c r="D50" s="199"/>
      <c r="E50" s="201">
        <f t="shared" si="18"/>
        <v>0</v>
      </c>
      <c r="F50" s="201">
        <f t="shared" si="19"/>
        <v>400</v>
      </c>
      <c r="G50" s="204">
        <v>200</v>
      </c>
      <c r="H50" s="204">
        <v>0</v>
      </c>
      <c r="I50" s="204">
        <v>0</v>
      </c>
      <c r="J50" s="204">
        <v>0</v>
      </c>
      <c r="K50" s="204">
        <v>0</v>
      </c>
      <c r="L50" s="204">
        <v>0</v>
      </c>
      <c r="M50" s="204">
        <v>200</v>
      </c>
      <c r="N50" s="204">
        <v>0</v>
      </c>
      <c r="O50" s="204">
        <v>0</v>
      </c>
      <c r="P50" s="204">
        <v>0</v>
      </c>
      <c r="Q50" s="204">
        <v>0</v>
      </c>
      <c r="R50" s="204">
        <v>0</v>
      </c>
      <c r="S50" s="204"/>
      <c r="T50" s="202" t="s">
        <v>40</v>
      </c>
      <c r="U50" s="218" t="s">
        <v>18</v>
      </c>
      <c r="V50" s="203" t="s">
        <v>80</v>
      </c>
    </row>
    <row r="51" s="174" customFormat="1" ht="23.25" customHeight="1" spans="1:22">
      <c r="A51" s="202">
        <v>37</v>
      </c>
      <c r="B51" s="203" t="s">
        <v>90</v>
      </c>
      <c r="C51" s="198">
        <v>2478</v>
      </c>
      <c r="D51" s="199">
        <v>0</v>
      </c>
      <c r="E51" s="201">
        <f t="shared" si="18"/>
        <v>2478</v>
      </c>
      <c r="F51" s="201">
        <f t="shared" si="19"/>
        <v>12040</v>
      </c>
      <c r="G51" s="204">
        <v>1270</v>
      </c>
      <c r="H51" s="204">
        <v>10770</v>
      </c>
      <c r="I51" s="204">
        <v>0</v>
      </c>
      <c r="J51" s="204">
        <v>0</v>
      </c>
      <c r="K51" s="204">
        <v>0</v>
      </c>
      <c r="L51" s="204">
        <v>0</v>
      </c>
      <c r="M51" s="204">
        <v>0</v>
      </c>
      <c r="N51" s="204">
        <v>0</v>
      </c>
      <c r="O51" s="204">
        <v>0</v>
      </c>
      <c r="P51" s="204">
        <v>0</v>
      </c>
      <c r="Q51" s="204">
        <v>0</v>
      </c>
      <c r="R51" s="204">
        <v>0</v>
      </c>
      <c r="S51" s="204"/>
      <c r="T51" s="202" t="s">
        <v>91</v>
      </c>
      <c r="U51" s="218" t="s">
        <v>18</v>
      </c>
      <c r="V51" s="203" t="s">
        <v>92</v>
      </c>
    </row>
    <row r="52" s="173" customFormat="1" ht="23.25" customHeight="1" spans="1:22">
      <c r="A52" s="207">
        <v>38</v>
      </c>
      <c r="B52" s="197" t="s">
        <v>93</v>
      </c>
      <c r="C52" s="198">
        <v>136944.89</v>
      </c>
      <c r="D52" s="199">
        <v>9511.08</v>
      </c>
      <c r="E52" s="195">
        <f t="shared" si="18"/>
        <v>146455.97</v>
      </c>
      <c r="F52" s="195">
        <f t="shared" si="19"/>
        <v>0</v>
      </c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196"/>
      <c r="U52" s="207" t="s">
        <v>18</v>
      </c>
      <c r="V52" s="197" t="s">
        <v>51</v>
      </c>
    </row>
    <row r="53" s="172" customFormat="1" ht="23.25" customHeight="1" spans="1:22">
      <c r="A53" s="193">
        <v>39</v>
      </c>
      <c r="B53" s="194" t="s">
        <v>94</v>
      </c>
      <c r="C53" s="195">
        <f t="shared" ref="C53:R53" si="20">C54+C55+C56</f>
        <v>0</v>
      </c>
      <c r="D53" s="195">
        <f t="shared" si="20"/>
        <v>0</v>
      </c>
      <c r="E53" s="195">
        <f t="shared" si="20"/>
        <v>0</v>
      </c>
      <c r="F53" s="195">
        <f t="shared" si="20"/>
        <v>0</v>
      </c>
      <c r="G53" s="195">
        <f t="shared" si="20"/>
        <v>0</v>
      </c>
      <c r="H53" s="195">
        <f t="shared" si="20"/>
        <v>0</v>
      </c>
      <c r="I53" s="195">
        <f t="shared" si="20"/>
        <v>0</v>
      </c>
      <c r="J53" s="195">
        <f t="shared" si="20"/>
        <v>0</v>
      </c>
      <c r="K53" s="195">
        <f t="shared" si="20"/>
        <v>0</v>
      </c>
      <c r="L53" s="195">
        <f t="shared" si="20"/>
        <v>0</v>
      </c>
      <c r="M53" s="195">
        <f t="shared" si="20"/>
        <v>0</v>
      </c>
      <c r="N53" s="195">
        <f t="shared" si="20"/>
        <v>0</v>
      </c>
      <c r="O53" s="195">
        <f t="shared" si="20"/>
        <v>0</v>
      </c>
      <c r="P53" s="195">
        <f t="shared" si="20"/>
        <v>0</v>
      </c>
      <c r="Q53" s="195">
        <f t="shared" si="20"/>
        <v>0</v>
      </c>
      <c r="R53" s="195">
        <f t="shared" si="20"/>
        <v>0</v>
      </c>
      <c r="S53" s="195"/>
      <c r="T53" s="193"/>
      <c r="U53" s="193" t="s">
        <v>18</v>
      </c>
      <c r="V53" s="194" t="s">
        <v>95</v>
      </c>
    </row>
    <row r="54" s="173" customFormat="1" ht="23.25" customHeight="1" spans="1:22">
      <c r="A54" s="207">
        <v>40</v>
      </c>
      <c r="B54" s="197" t="s">
        <v>96</v>
      </c>
      <c r="C54" s="200"/>
      <c r="D54" s="200"/>
      <c r="E54" s="195">
        <f>C54+D54</f>
        <v>0</v>
      </c>
      <c r="F54" s="195">
        <f>G54+H54+I54+J54+K54+L54+M54+N54+O54+P54+Q54+R54</f>
        <v>0</v>
      </c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7" t="s">
        <v>17</v>
      </c>
      <c r="U54" s="207" t="s">
        <v>18</v>
      </c>
      <c r="V54" s="197" t="s">
        <v>51</v>
      </c>
    </row>
    <row r="55" s="173" customFormat="1" ht="23.25" customHeight="1" spans="1:22">
      <c r="A55" s="196">
        <v>41</v>
      </c>
      <c r="B55" s="197" t="s">
        <v>97</v>
      </c>
      <c r="C55" s="200"/>
      <c r="D55" s="200"/>
      <c r="E55" s="195">
        <f>C55+D55</f>
        <v>0</v>
      </c>
      <c r="F55" s="195">
        <f>G55+H55+I55+J55+K55+L55+M55+N55+O55+P55+Q55+R55</f>
        <v>0</v>
      </c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7" t="s">
        <v>17</v>
      </c>
      <c r="U55" s="207" t="s">
        <v>18</v>
      </c>
      <c r="V55" s="197" t="s">
        <v>51</v>
      </c>
    </row>
    <row r="56" s="173" customFormat="1" ht="23.25" customHeight="1" spans="1:22">
      <c r="A56" s="207">
        <v>42</v>
      </c>
      <c r="B56" s="197" t="s">
        <v>98</v>
      </c>
      <c r="C56" s="200"/>
      <c r="D56" s="200"/>
      <c r="E56" s="195">
        <f>C56+D56</f>
        <v>0</v>
      </c>
      <c r="F56" s="195">
        <f>G56+H56+I56+J56+K56+L56+M56+N56+O56+P56+Q56+R56</f>
        <v>0</v>
      </c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25"/>
      <c r="T56" s="207" t="s">
        <v>17</v>
      </c>
      <c r="U56" s="207" t="s">
        <v>18</v>
      </c>
      <c r="V56" s="197" t="s">
        <v>51</v>
      </c>
    </row>
    <row r="57" s="172" customFormat="1" ht="23.25" customHeight="1" spans="1:22">
      <c r="A57" s="193">
        <v>43</v>
      </c>
      <c r="B57" s="194" t="s">
        <v>99</v>
      </c>
      <c r="C57" s="195">
        <f t="shared" ref="C57:R57" si="21">C29-C30-C53</f>
        <v>363761.39407767</v>
      </c>
      <c r="D57" s="195">
        <f t="shared" si="21"/>
        <v>50442.450776699</v>
      </c>
      <c r="E57" s="195">
        <f t="shared" si="21"/>
        <v>414203.844854369</v>
      </c>
      <c r="F57" s="195">
        <f t="shared" si="21"/>
        <v>264866.575436893</v>
      </c>
      <c r="G57" s="195">
        <f t="shared" si="21"/>
        <v>19064.9937864078</v>
      </c>
      <c r="H57" s="195">
        <f t="shared" si="21"/>
        <v>698.603786407766</v>
      </c>
      <c r="I57" s="195">
        <f t="shared" si="21"/>
        <v>18769.6037864078</v>
      </c>
      <c r="J57" s="195">
        <f t="shared" si="21"/>
        <v>24984.9937864078</v>
      </c>
      <c r="K57" s="195">
        <f t="shared" si="21"/>
        <v>27118.6037864078</v>
      </c>
      <c r="L57" s="195">
        <f t="shared" si="21"/>
        <v>24318.1537864078</v>
      </c>
      <c r="M57" s="195">
        <f t="shared" si="21"/>
        <v>26818.6037864078</v>
      </c>
      <c r="N57" s="195">
        <f t="shared" si="21"/>
        <v>27038.6037864078</v>
      </c>
      <c r="O57" s="195">
        <f t="shared" si="21"/>
        <v>22558.6037864078</v>
      </c>
      <c r="P57" s="195">
        <f t="shared" si="21"/>
        <v>20658.6037864078</v>
      </c>
      <c r="Q57" s="195">
        <f t="shared" si="21"/>
        <v>27058.6037864078</v>
      </c>
      <c r="R57" s="226">
        <f t="shared" si="21"/>
        <v>25778.6037864078</v>
      </c>
      <c r="S57" s="195"/>
      <c r="T57" s="193"/>
      <c r="U57" s="193" t="s">
        <v>18</v>
      </c>
      <c r="V57" s="194"/>
    </row>
    <row r="58" s="172" customFormat="1" ht="23.25" customHeight="1" spans="1:22">
      <c r="A58" s="193">
        <v>44</v>
      </c>
      <c r="B58" s="194" t="s">
        <v>100</v>
      </c>
      <c r="C58" s="195"/>
      <c r="D58" s="195"/>
      <c r="E58" s="195">
        <f>C58</f>
        <v>0</v>
      </c>
      <c r="F58" s="195">
        <f>G58+H58+I58+J58+K58+L58+M58+N58+O58+P58+Q58+R58</f>
        <v>0</v>
      </c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226"/>
      <c r="S58" s="195"/>
      <c r="T58" s="193"/>
      <c r="U58" s="193" t="s">
        <v>18</v>
      </c>
      <c r="V58" s="194" t="s">
        <v>51</v>
      </c>
    </row>
    <row r="59" s="172" customFormat="1" ht="23.25" customHeight="1" spans="1:22">
      <c r="A59" s="193">
        <v>45</v>
      </c>
      <c r="B59" s="194" t="s">
        <v>101</v>
      </c>
      <c r="C59" s="195"/>
      <c r="D59" s="195"/>
      <c r="E59" s="195">
        <f>C59</f>
        <v>0</v>
      </c>
      <c r="F59" s="195">
        <f>G59+H59+I59+J59+K59+L59+M59+N59+O59+P59+Q59+R59</f>
        <v>0</v>
      </c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226"/>
      <c r="S59" s="195"/>
      <c r="T59" s="193"/>
      <c r="U59" s="193" t="s">
        <v>18</v>
      </c>
      <c r="V59" s="194" t="s">
        <v>51</v>
      </c>
    </row>
    <row r="60" s="172" customFormat="1" ht="23.25" customHeight="1" spans="1:22">
      <c r="A60" s="193">
        <v>46</v>
      </c>
      <c r="B60" s="194" t="s">
        <v>102</v>
      </c>
      <c r="C60" s="195"/>
      <c r="D60" s="195"/>
      <c r="E60" s="195">
        <f>C60</f>
        <v>0</v>
      </c>
      <c r="F60" s="195">
        <f>G60+H60+I60+J60+K60+L60+M60+N60+O60+P60+Q60+R60</f>
        <v>0</v>
      </c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226"/>
      <c r="S60" s="195"/>
      <c r="T60" s="193"/>
      <c r="U60" s="193" t="s">
        <v>18</v>
      </c>
      <c r="V60" s="194" t="s">
        <v>51</v>
      </c>
    </row>
    <row r="61" s="172" customFormat="1" ht="23.25" customHeight="1" spans="1:22">
      <c r="A61" s="193">
        <v>47</v>
      </c>
      <c r="B61" s="194" t="s">
        <v>103</v>
      </c>
      <c r="C61" s="195"/>
      <c r="D61" s="195"/>
      <c r="E61" s="195">
        <f>C61</f>
        <v>0</v>
      </c>
      <c r="F61" s="195">
        <f>G61+H61+I61+J61+K61+L61+M61+N61+O61+P61+Q61+R61</f>
        <v>0</v>
      </c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226"/>
      <c r="S61" s="195"/>
      <c r="T61" s="193"/>
      <c r="U61" s="193" t="s">
        <v>18</v>
      </c>
      <c r="V61" s="194" t="s">
        <v>51</v>
      </c>
    </row>
    <row r="62" s="172" customFormat="1" ht="23.25" customHeight="1" spans="1:22">
      <c r="A62" s="193">
        <v>48</v>
      </c>
      <c r="B62" s="194" t="s">
        <v>104</v>
      </c>
      <c r="C62" s="195">
        <f t="shared" ref="C62:R62" si="22">C57+C58-C59+C60-C61</f>
        <v>363761.39407767</v>
      </c>
      <c r="D62" s="195">
        <f t="shared" si="22"/>
        <v>50442.450776699</v>
      </c>
      <c r="E62" s="195">
        <f t="shared" si="22"/>
        <v>414203.844854369</v>
      </c>
      <c r="F62" s="195">
        <f t="shared" si="22"/>
        <v>264866.575436893</v>
      </c>
      <c r="G62" s="195">
        <f t="shared" si="22"/>
        <v>19064.9937864078</v>
      </c>
      <c r="H62" s="195">
        <f t="shared" si="22"/>
        <v>698.603786407766</v>
      </c>
      <c r="I62" s="195">
        <f t="shared" si="22"/>
        <v>18769.6037864078</v>
      </c>
      <c r="J62" s="195">
        <f t="shared" si="22"/>
        <v>24984.9937864078</v>
      </c>
      <c r="K62" s="195">
        <f t="shared" si="22"/>
        <v>27118.6037864078</v>
      </c>
      <c r="L62" s="195">
        <f t="shared" si="22"/>
        <v>24318.1537864078</v>
      </c>
      <c r="M62" s="195">
        <f t="shared" si="22"/>
        <v>26818.6037864078</v>
      </c>
      <c r="N62" s="195">
        <f t="shared" si="22"/>
        <v>27038.6037864078</v>
      </c>
      <c r="O62" s="195">
        <f t="shared" si="22"/>
        <v>22558.6037864078</v>
      </c>
      <c r="P62" s="195">
        <f t="shared" si="22"/>
        <v>20658.6037864078</v>
      </c>
      <c r="Q62" s="195">
        <f t="shared" si="22"/>
        <v>27058.6037864078</v>
      </c>
      <c r="R62" s="226">
        <f t="shared" si="22"/>
        <v>25778.6037864078</v>
      </c>
      <c r="S62" s="195"/>
      <c r="T62" s="193"/>
      <c r="U62" s="193"/>
      <c r="V62" s="194"/>
    </row>
    <row r="63" s="172" customFormat="1" ht="23.25" customHeight="1" spans="1:22">
      <c r="A63" s="193">
        <v>49</v>
      </c>
      <c r="B63" s="219" t="s">
        <v>105</v>
      </c>
      <c r="C63" s="195">
        <f t="shared" ref="C63:R63" si="23">C62*0.25</f>
        <v>90940.3485194175</v>
      </c>
      <c r="D63" s="195">
        <f t="shared" si="23"/>
        <v>12610.6126941748</v>
      </c>
      <c r="E63" s="195">
        <f t="shared" si="23"/>
        <v>103550.961213592</v>
      </c>
      <c r="F63" s="195">
        <f t="shared" si="23"/>
        <v>66216.6438592233</v>
      </c>
      <c r="G63" s="195">
        <f t="shared" si="23"/>
        <v>4766.24844660194</v>
      </c>
      <c r="H63" s="195">
        <f t="shared" si="23"/>
        <v>174.650946601942</v>
      </c>
      <c r="I63" s="195">
        <f t="shared" si="23"/>
        <v>4692.40094660194</v>
      </c>
      <c r="J63" s="195">
        <f t="shared" si="23"/>
        <v>6246.24844660194</v>
      </c>
      <c r="K63" s="195">
        <f t="shared" si="23"/>
        <v>6779.65094660194</v>
      </c>
      <c r="L63" s="195">
        <f t="shared" si="23"/>
        <v>6079.53844660194</v>
      </c>
      <c r="M63" s="195">
        <f t="shared" si="23"/>
        <v>6704.65094660194</v>
      </c>
      <c r="N63" s="195">
        <f t="shared" si="23"/>
        <v>6759.65094660194</v>
      </c>
      <c r="O63" s="195">
        <f t="shared" si="23"/>
        <v>5639.65094660194</v>
      </c>
      <c r="P63" s="195">
        <f t="shared" si="23"/>
        <v>5164.65094660194</v>
      </c>
      <c r="Q63" s="195">
        <f t="shared" si="23"/>
        <v>6764.65094660194</v>
      </c>
      <c r="R63" s="226">
        <f t="shared" si="23"/>
        <v>6444.65094660194</v>
      </c>
      <c r="S63" s="195"/>
      <c r="T63" s="193"/>
      <c r="U63" s="193"/>
      <c r="V63" s="194"/>
    </row>
    <row r="64" s="172" customFormat="1" ht="23.25" customHeight="1" spans="1:22">
      <c r="A64" s="193">
        <v>50</v>
      </c>
      <c r="B64" s="194" t="s">
        <v>106</v>
      </c>
      <c r="C64" s="195">
        <f t="shared" ref="C64:R64" si="24">C62-C63</f>
        <v>272821.045558252</v>
      </c>
      <c r="D64" s="195">
        <f t="shared" si="24"/>
        <v>37831.8380825243</v>
      </c>
      <c r="E64" s="195">
        <f t="shared" si="24"/>
        <v>310652.883640776</v>
      </c>
      <c r="F64" s="195">
        <f t="shared" si="24"/>
        <v>198649.93157767</v>
      </c>
      <c r="G64" s="195">
        <f t="shared" si="24"/>
        <v>14298.7453398058</v>
      </c>
      <c r="H64" s="195">
        <f t="shared" si="24"/>
        <v>523.952839805825</v>
      </c>
      <c r="I64" s="195">
        <f t="shared" si="24"/>
        <v>14077.2028398058</v>
      </c>
      <c r="J64" s="195">
        <f t="shared" si="24"/>
        <v>18738.7453398058</v>
      </c>
      <c r="K64" s="195">
        <f t="shared" si="24"/>
        <v>20338.9528398058</v>
      </c>
      <c r="L64" s="195">
        <f t="shared" si="24"/>
        <v>18238.6153398058</v>
      </c>
      <c r="M64" s="195">
        <f t="shared" si="24"/>
        <v>20113.9528398058</v>
      </c>
      <c r="N64" s="195">
        <f t="shared" si="24"/>
        <v>20278.9528398058</v>
      </c>
      <c r="O64" s="195">
        <f t="shared" si="24"/>
        <v>16918.9528398058</v>
      </c>
      <c r="P64" s="195">
        <f t="shared" si="24"/>
        <v>15493.9528398058</v>
      </c>
      <c r="Q64" s="195">
        <f t="shared" si="24"/>
        <v>20293.9528398058</v>
      </c>
      <c r="R64" s="226">
        <f t="shared" si="24"/>
        <v>19333.9528398058</v>
      </c>
      <c r="S64" s="195"/>
      <c r="T64" s="193"/>
      <c r="U64" s="193"/>
      <c r="V64" s="194"/>
    </row>
    <row r="65" ht="23.25" customHeight="1"/>
  </sheetData>
  <mergeCells count="6">
    <mergeCell ref="A1:P1"/>
    <mergeCell ref="A2:R2"/>
    <mergeCell ref="A3:A5"/>
    <mergeCell ref="B3:B5"/>
    <mergeCell ref="C3:E4"/>
    <mergeCell ref="F3:V4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65"/>
  <sheetViews>
    <sheetView workbookViewId="0">
      <selection activeCell="L7" sqref="L7"/>
    </sheetView>
  </sheetViews>
  <sheetFormatPr defaultColWidth="9" defaultRowHeight="13.5"/>
  <cols>
    <col min="1" max="1" width="6.125" style="118" customWidth="1"/>
    <col min="2" max="2" width="44.5" style="119" customWidth="1"/>
    <col min="3" max="3" width="19.875" style="118" customWidth="1"/>
    <col min="4" max="4" width="15" style="118" customWidth="1"/>
    <col min="5" max="5" width="12.25" style="118" customWidth="1"/>
    <col min="6" max="6" width="11.125" style="118" customWidth="1"/>
    <col min="7" max="8" width="10.375" style="118" customWidth="1"/>
    <col min="9" max="19" width="11.625" style="118" customWidth="1"/>
    <col min="20" max="20" width="18.5" style="120" customWidth="1"/>
    <col min="21" max="21" width="13.625" style="120" customWidth="1"/>
    <col min="22" max="22" width="98.375" style="119" customWidth="1"/>
    <col min="23" max="23" width="9" style="118" customWidth="1"/>
    <col min="24" max="16384" width="9" style="118"/>
  </cols>
  <sheetData>
    <row r="1" ht="25.5" spans="1:16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="113" customFormat="1" ht="20.25" customHeight="1" spans="1:22">
      <c r="A2" s="122" t="s">
        <v>107</v>
      </c>
      <c r="B2" s="122"/>
      <c r="C2" s="122"/>
      <c r="D2" s="122"/>
      <c r="E2" s="122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3"/>
      <c r="U2" s="163"/>
      <c r="V2" s="164"/>
    </row>
    <row r="3" s="114" customFormat="1" ht="23.25" customHeight="1" spans="1:22">
      <c r="A3" s="124" t="s">
        <v>2</v>
      </c>
      <c r="B3" s="124" t="s">
        <v>3</v>
      </c>
      <c r="C3" s="125" t="s">
        <v>4</v>
      </c>
      <c r="D3" s="126"/>
      <c r="E3" s="127"/>
      <c r="F3" s="128" t="s">
        <v>5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</row>
    <row r="4" s="114" customFormat="1" ht="31.5" customHeight="1" spans="1:22">
      <c r="A4" s="129"/>
      <c r="B4" s="129"/>
      <c r="C4" s="128" t="s">
        <v>6</v>
      </c>
      <c r="D4" s="128" t="s">
        <v>7</v>
      </c>
      <c r="E4" s="128" t="s">
        <v>8</v>
      </c>
      <c r="F4" s="128" t="s">
        <v>9</v>
      </c>
      <c r="G4" s="130">
        <v>43101</v>
      </c>
      <c r="H4" s="130">
        <v>43132</v>
      </c>
      <c r="I4" s="130">
        <v>43160</v>
      </c>
      <c r="J4" s="130">
        <v>43191</v>
      </c>
      <c r="K4" s="130">
        <v>43221</v>
      </c>
      <c r="L4" s="130">
        <v>43252</v>
      </c>
      <c r="M4" s="130">
        <v>43282</v>
      </c>
      <c r="N4" s="130">
        <v>43313</v>
      </c>
      <c r="O4" s="130">
        <v>43344</v>
      </c>
      <c r="P4" s="130">
        <v>43374</v>
      </c>
      <c r="Q4" s="130">
        <v>43405</v>
      </c>
      <c r="R4" s="130">
        <v>43435</v>
      </c>
      <c r="S4" s="128" t="s">
        <v>10</v>
      </c>
      <c r="T4" s="128" t="s">
        <v>11</v>
      </c>
      <c r="U4" s="128" t="s">
        <v>12</v>
      </c>
      <c r="V4" s="136" t="s">
        <v>13</v>
      </c>
    </row>
    <row r="5" s="114" customFormat="1" ht="31.5" customHeight="1" spans="1:22">
      <c r="A5" s="131"/>
      <c r="B5" s="131"/>
      <c r="C5" s="128"/>
      <c r="D5" s="128"/>
      <c r="E5" s="128"/>
      <c r="F5" s="128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28"/>
      <c r="T5" s="128"/>
      <c r="U5" s="128"/>
      <c r="V5" s="136"/>
    </row>
    <row r="6" s="115" customFormat="1" ht="26.25" customHeight="1" spans="1:22">
      <c r="A6" s="132">
        <v>1</v>
      </c>
      <c r="B6" s="133" t="s">
        <v>14</v>
      </c>
      <c r="C6" s="134">
        <f t="shared" ref="C6:R6" si="0">C7+C8+C9+C10+C11+C12+C13</f>
        <v>243000</v>
      </c>
      <c r="D6" s="134">
        <f t="shared" si="0"/>
        <v>146300</v>
      </c>
      <c r="E6" s="134">
        <f t="shared" si="0"/>
        <v>389300</v>
      </c>
      <c r="F6" s="134">
        <f t="shared" si="0"/>
        <v>1838333.4</v>
      </c>
      <c r="G6" s="134">
        <f t="shared" si="0"/>
        <v>150416.7</v>
      </c>
      <c r="H6" s="134">
        <f t="shared" si="0"/>
        <v>150416.7</v>
      </c>
      <c r="I6" s="134">
        <f t="shared" si="0"/>
        <v>153750</v>
      </c>
      <c r="J6" s="134">
        <f t="shared" si="0"/>
        <v>153750</v>
      </c>
      <c r="K6" s="134">
        <f t="shared" si="0"/>
        <v>153750</v>
      </c>
      <c r="L6" s="134">
        <f t="shared" si="0"/>
        <v>153750</v>
      </c>
      <c r="M6" s="134">
        <f t="shared" si="0"/>
        <v>153750</v>
      </c>
      <c r="N6" s="134">
        <f t="shared" si="0"/>
        <v>153750</v>
      </c>
      <c r="O6" s="134">
        <f t="shared" si="0"/>
        <v>153750</v>
      </c>
      <c r="P6" s="134">
        <f t="shared" si="0"/>
        <v>153750</v>
      </c>
      <c r="Q6" s="134">
        <f t="shared" si="0"/>
        <v>153750</v>
      </c>
      <c r="R6" s="134">
        <f t="shared" si="0"/>
        <v>153750</v>
      </c>
      <c r="S6" s="134"/>
      <c r="T6" s="132"/>
      <c r="U6" s="132"/>
      <c r="V6" s="133" t="s">
        <v>15</v>
      </c>
    </row>
    <row r="7" ht="25.5" customHeight="1" spans="1:22">
      <c r="A7" s="135">
        <v>2</v>
      </c>
      <c r="B7" s="136" t="s">
        <v>16</v>
      </c>
      <c r="C7" s="137">
        <v>243000</v>
      </c>
      <c r="D7" s="138">
        <v>140500</v>
      </c>
      <c r="E7" s="134">
        <f>C7+D7</f>
        <v>383500</v>
      </c>
      <c r="F7" s="134">
        <f t="shared" ref="F7:F13" si="1">G7+H7+I7+J7+K7+L7+M7+N7+O7+P7+Q7+R7</f>
        <v>1838333.4</v>
      </c>
      <c r="G7" s="139">
        <v>150416.7</v>
      </c>
      <c r="H7" s="139">
        <v>150416.7</v>
      </c>
      <c r="I7" s="154">
        <v>153750</v>
      </c>
      <c r="J7" s="154">
        <v>153750</v>
      </c>
      <c r="K7" s="154">
        <v>153750</v>
      </c>
      <c r="L7" s="154">
        <v>153750</v>
      </c>
      <c r="M7" s="154">
        <v>153750</v>
      </c>
      <c r="N7" s="154">
        <v>153750</v>
      </c>
      <c r="O7" s="154">
        <v>153750</v>
      </c>
      <c r="P7" s="154">
        <v>153750</v>
      </c>
      <c r="Q7" s="154">
        <v>153750</v>
      </c>
      <c r="R7" s="154">
        <v>153750</v>
      </c>
      <c r="S7" s="139"/>
      <c r="T7" s="146" t="s">
        <v>17</v>
      </c>
      <c r="U7" s="146" t="s">
        <v>18</v>
      </c>
      <c r="V7" s="136" t="s">
        <v>108</v>
      </c>
    </row>
    <row r="8" ht="26.25" customHeight="1" spans="1:22">
      <c r="A8" s="135">
        <v>3</v>
      </c>
      <c r="B8" s="136" t="s">
        <v>20</v>
      </c>
      <c r="C8" s="137"/>
      <c r="D8" s="138"/>
      <c r="E8" s="134">
        <f t="shared" ref="E8:E13" si="2">C8+D8</f>
        <v>0</v>
      </c>
      <c r="F8" s="134">
        <f t="shared" si="1"/>
        <v>0</v>
      </c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46" t="s">
        <v>17</v>
      </c>
      <c r="U8" s="146" t="s">
        <v>18</v>
      </c>
      <c r="V8" s="136" t="s">
        <v>109</v>
      </c>
    </row>
    <row r="9" ht="26.25" customHeight="1" spans="1:22">
      <c r="A9" s="135">
        <v>4</v>
      </c>
      <c r="B9" s="136" t="s">
        <v>22</v>
      </c>
      <c r="C9" s="137"/>
      <c r="D9" s="138">
        <v>4800</v>
      </c>
      <c r="E9" s="134">
        <f t="shared" si="2"/>
        <v>4800</v>
      </c>
      <c r="F9" s="134">
        <f t="shared" si="1"/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46" t="s">
        <v>17</v>
      </c>
      <c r="U9" s="146" t="s">
        <v>18</v>
      </c>
      <c r="V9" s="136" t="s">
        <v>23</v>
      </c>
    </row>
    <row r="10" ht="26.25" customHeight="1" spans="1:22">
      <c r="A10" s="135">
        <v>5</v>
      </c>
      <c r="B10" s="136" t="s">
        <v>24</v>
      </c>
      <c r="C10" s="137"/>
      <c r="D10" s="138"/>
      <c r="E10" s="134">
        <f t="shared" si="2"/>
        <v>0</v>
      </c>
      <c r="F10" s="134">
        <f t="shared" si="1"/>
        <v>0</v>
      </c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46" t="s">
        <v>17</v>
      </c>
      <c r="U10" s="146" t="s">
        <v>18</v>
      </c>
      <c r="V10" s="136" t="s">
        <v>25</v>
      </c>
    </row>
    <row r="11" ht="36.75" customHeight="1" spans="1:22">
      <c r="A11" s="135">
        <v>6</v>
      </c>
      <c r="B11" s="136" t="s">
        <v>26</v>
      </c>
      <c r="C11" s="137"/>
      <c r="D11" s="138"/>
      <c r="E11" s="134">
        <f t="shared" si="2"/>
        <v>0</v>
      </c>
      <c r="F11" s="134">
        <f t="shared" si="1"/>
        <v>0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46" t="s">
        <v>17</v>
      </c>
      <c r="U11" s="146" t="s">
        <v>18</v>
      </c>
      <c r="V11" s="136" t="s">
        <v>27</v>
      </c>
    </row>
    <row r="12" ht="33.75" customHeight="1" spans="1:22">
      <c r="A12" s="135">
        <v>7</v>
      </c>
      <c r="B12" s="136" t="s">
        <v>28</v>
      </c>
      <c r="C12" s="137"/>
      <c r="D12" s="138"/>
      <c r="E12" s="134">
        <f t="shared" si="2"/>
        <v>0</v>
      </c>
      <c r="F12" s="134">
        <f t="shared" si="1"/>
        <v>0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46" t="s">
        <v>17</v>
      </c>
      <c r="U12" s="146" t="s">
        <v>18</v>
      </c>
      <c r="V12" s="136" t="s">
        <v>29</v>
      </c>
    </row>
    <row r="13" ht="23.25" customHeight="1" spans="1:22">
      <c r="A13" s="135">
        <v>8</v>
      </c>
      <c r="B13" s="136" t="s">
        <v>30</v>
      </c>
      <c r="C13" s="137"/>
      <c r="D13" s="138">
        <v>1000</v>
      </c>
      <c r="E13" s="134">
        <f t="shared" si="2"/>
        <v>1000</v>
      </c>
      <c r="F13" s="134">
        <f t="shared" si="1"/>
        <v>0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46" t="s">
        <v>17</v>
      </c>
      <c r="U13" s="146" t="s">
        <v>18</v>
      </c>
      <c r="V13" s="136" t="s">
        <v>31</v>
      </c>
    </row>
    <row r="14" s="115" customFormat="1" ht="23.25" customHeight="1" spans="1:22">
      <c r="A14" s="132">
        <v>9</v>
      </c>
      <c r="B14" s="133" t="s">
        <v>32</v>
      </c>
      <c r="C14" s="134">
        <f>C15+C16+C17+C18+C19+C20+C21+C22</f>
        <v>197558.55</v>
      </c>
      <c r="D14" s="134">
        <f>D15+D16+D17+D18+D19+D20+D21+D22</f>
        <v>74393</v>
      </c>
      <c r="E14" s="134">
        <f>E15+E16+E17+E18+E19+E20+E21+E22</f>
        <v>271951.55</v>
      </c>
      <c r="F14" s="134">
        <f>F15+F16+F17+F18+F19+F20+F21+F22</f>
        <v>1306076.56</v>
      </c>
      <c r="G14" s="134">
        <f>G15+G16+G17+G18+G19+G20+G21+G22</f>
        <v>98763.88</v>
      </c>
      <c r="H14" s="134">
        <f t="shared" ref="H14:R14" si="3">H15+H16+H17+H18+H19+H20+J21+H22</f>
        <v>110913.88</v>
      </c>
      <c r="I14" s="134">
        <f t="shared" si="3"/>
        <v>104263.88</v>
      </c>
      <c r="J14" s="134">
        <f t="shared" si="3"/>
        <v>109103.88</v>
      </c>
      <c r="K14" s="134">
        <f t="shared" si="3"/>
        <v>109103.88</v>
      </c>
      <c r="L14" s="134">
        <f t="shared" si="3"/>
        <v>110633.88</v>
      </c>
      <c r="M14" s="134">
        <f t="shared" si="3"/>
        <v>109103.88</v>
      </c>
      <c r="N14" s="134">
        <f t="shared" si="3"/>
        <v>109103.88</v>
      </c>
      <c r="O14" s="134">
        <f t="shared" si="3"/>
        <v>117263.88</v>
      </c>
      <c r="P14" s="134">
        <f t="shared" si="3"/>
        <v>109613.88</v>
      </c>
      <c r="Q14" s="134">
        <f t="shared" si="3"/>
        <v>109103.88</v>
      </c>
      <c r="R14" s="134">
        <f t="shared" si="3"/>
        <v>109103.88</v>
      </c>
      <c r="S14" s="134"/>
      <c r="T14" s="132"/>
      <c r="U14" s="132" t="s">
        <v>18</v>
      </c>
      <c r="V14" s="133" t="s">
        <v>33</v>
      </c>
    </row>
    <row r="15" ht="28.5" customHeight="1" spans="1:22">
      <c r="A15" s="135">
        <v>10</v>
      </c>
      <c r="B15" s="136" t="s">
        <v>34</v>
      </c>
      <c r="C15" s="137">
        <v>191150</v>
      </c>
      <c r="D15" s="138">
        <v>70351</v>
      </c>
      <c r="E15" s="134">
        <f t="shared" ref="E15:E22" si="4">C15+D15</f>
        <v>261501</v>
      </c>
      <c r="F15" s="134">
        <f t="shared" ref="F15:F20" si="5">G15+H15+I15+J15+K15+L15+M15+N15+O15+P15+Q15+R15</f>
        <v>1151400</v>
      </c>
      <c r="G15" s="139">
        <v>87895</v>
      </c>
      <c r="H15" s="139">
        <v>87895</v>
      </c>
      <c r="I15" s="139">
        <v>91495</v>
      </c>
      <c r="J15" s="139">
        <v>98235</v>
      </c>
      <c r="K15" s="139">
        <v>98235</v>
      </c>
      <c r="L15" s="139">
        <v>98235</v>
      </c>
      <c r="M15" s="139">
        <v>98235</v>
      </c>
      <c r="N15" s="139">
        <v>98235</v>
      </c>
      <c r="O15" s="139">
        <v>98235</v>
      </c>
      <c r="P15" s="139">
        <v>98235</v>
      </c>
      <c r="Q15" s="139">
        <v>98235</v>
      </c>
      <c r="R15" s="139">
        <v>98235</v>
      </c>
      <c r="S15" s="139"/>
      <c r="T15" s="135" t="s">
        <v>35</v>
      </c>
      <c r="U15" s="146" t="s">
        <v>18</v>
      </c>
      <c r="V15" s="136" t="s">
        <v>110</v>
      </c>
    </row>
    <row r="16" ht="29.25" customHeight="1" spans="1:22">
      <c r="A16" s="135">
        <v>11</v>
      </c>
      <c r="B16" s="136" t="s">
        <v>37</v>
      </c>
      <c r="C16" s="137">
        <v>1204.55</v>
      </c>
      <c r="D16" s="138"/>
      <c r="E16" s="134">
        <f t="shared" si="4"/>
        <v>1204.55</v>
      </c>
      <c r="F16" s="134">
        <f t="shared" si="5"/>
        <v>133076.56</v>
      </c>
      <c r="G16" s="139">
        <v>9068.88</v>
      </c>
      <c r="H16" s="139">
        <v>21218.88</v>
      </c>
      <c r="I16" s="139">
        <v>10968.88</v>
      </c>
      <c r="J16" s="139">
        <v>9068.88</v>
      </c>
      <c r="K16" s="139">
        <v>9068.88</v>
      </c>
      <c r="L16" s="139">
        <v>10598.88</v>
      </c>
      <c r="M16" s="139">
        <v>9068.88</v>
      </c>
      <c r="N16" s="139">
        <v>9068.88</v>
      </c>
      <c r="O16" s="139">
        <v>17228.88</v>
      </c>
      <c r="P16" s="139">
        <v>9578.88</v>
      </c>
      <c r="Q16" s="139">
        <v>9068.88</v>
      </c>
      <c r="R16" s="139">
        <v>9068.88</v>
      </c>
      <c r="S16" s="139"/>
      <c r="T16" s="135" t="s">
        <v>35</v>
      </c>
      <c r="U16" s="146" t="s">
        <v>18</v>
      </c>
      <c r="V16" s="136" t="s">
        <v>38</v>
      </c>
    </row>
    <row r="17" s="116" customFormat="1" ht="23.25" customHeight="1" spans="1:22">
      <c r="A17" s="140">
        <v>12</v>
      </c>
      <c r="B17" s="141" t="s">
        <v>39</v>
      </c>
      <c r="C17" s="137">
        <v>4419</v>
      </c>
      <c r="D17" s="138">
        <v>370</v>
      </c>
      <c r="E17" s="142">
        <f t="shared" si="4"/>
        <v>4789</v>
      </c>
      <c r="F17" s="142">
        <f t="shared" si="5"/>
        <v>12000</v>
      </c>
      <c r="G17" s="143">
        <v>1000</v>
      </c>
      <c r="H17" s="143">
        <v>1000</v>
      </c>
      <c r="I17" s="143">
        <v>1000</v>
      </c>
      <c r="J17" s="143">
        <v>1000</v>
      </c>
      <c r="K17" s="143">
        <v>1000</v>
      </c>
      <c r="L17" s="143">
        <v>1000</v>
      </c>
      <c r="M17" s="143">
        <v>1000</v>
      </c>
      <c r="N17" s="143">
        <v>1000</v>
      </c>
      <c r="O17" s="143">
        <v>1000</v>
      </c>
      <c r="P17" s="143">
        <v>1000</v>
      </c>
      <c r="Q17" s="143">
        <v>1000</v>
      </c>
      <c r="R17" s="143">
        <v>1000</v>
      </c>
      <c r="S17" s="143"/>
      <c r="T17" s="140" t="s">
        <v>40</v>
      </c>
      <c r="U17" s="160" t="s">
        <v>18</v>
      </c>
      <c r="V17" s="141" t="s">
        <v>41</v>
      </c>
    </row>
    <row r="18" s="116" customFormat="1" ht="23.25" customHeight="1" spans="1:22">
      <c r="A18" s="140">
        <v>13</v>
      </c>
      <c r="B18" s="141" t="s">
        <v>42</v>
      </c>
      <c r="C18" s="137">
        <v>485</v>
      </c>
      <c r="D18" s="138">
        <v>3672</v>
      </c>
      <c r="E18" s="142">
        <f t="shared" si="4"/>
        <v>4157</v>
      </c>
      <c r="F18" s="142">
        <f t="shared" si="5"/>
        <v>0</v>
      </c>
      <c r="G18" s="143">
        <v>0</v>
      </c>
      <c r="H18" s="143">
        <v>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v>0</v>
      </c>
      <c r="R18" s="143">
        <v>0</v>
      </c>
      <c r="S18" s="143"/>
      <c r="T18" s="140" t="s">
        <v>40</v>
      </c>
      <c r="U18" s="160" t="s">
        <v>18</v>
      </c>
      <c r="V18" s="141" t="s">
        <v>43</v>
      </c>
    </row>
    <row r="19" s="116" customFormat="1" ht="27.75" customHeight="1" spans="1:22">
      <c r="A19" s="140">
        <v>14</v>
      </c>
      <c r="B19" s="141" t="s">
        <v>44</v>
      </c>
      <c r="C19" s="137">
        <v>300</v>
      </c>
      <c r="D19" s="138"/>
      <c r="E19" s="142">
        <f t="shared" si="4"/>
        <v>300</v>
      </c>
      <c r="F19" s="142">
        <f t="shared" si="5"/>
        <v>9600</v>
      </c>
      <c r="G19" s="143">
        <v>800</v>
      </c>
      <c r="H19" s="143">
        <v>800</v>
      </c>
      <c r="I19" s="143">
        <v>800</v>
      </c>
      <c r="J19" s="143">
        <v>800</v>
      </c>
      <c r="K19" s="143">
        <v>800</v>
      </c>
      <c r="L19" s="143">
        <v>800</v>
      </c>
      <c r="M19" s="143">
        <v>800</v>
      </c>
      <c r="N19" s="143">
        <v>800</v>
      </c>
      <c r="O19" s="143">
        <v>800</v>
      </c>
      <c r="P19" s="143">
        <v>800</v>
      </c>
      <c r="Q19" s="143">
        <v>800</v>
      </c>
      <c r="R19" s="143">
        <v>800</v>
      </c>
      <c r="S19" s="143"/>
      <c r="T19" s="140" t="s">
        <v>40</v>
      </c>
      <c r="U19" s="160" t="s">
        <v>18</v>
      </c>
      <c r="V19" s="141" t="s">
        <v>45</v>
      </c>
    </row>
    <row r="20" s="116" customFormat="1" ht="30.75" customHeight="1" spans="1:22">
      <c r="A20" s="140">
        <v>15</v>
      </c>
      <c r="B20" s="141" t="s">
        <v>46</v>
      </c>
      <c r="C20" s="137"/>
      <c r="D20" s="138"/>
      <c r="E20" s="142">
        <f t="shared" si="4"/>
        <v>0</v>
      </c>
      <c r="F20" s="142">
        <f t="shared" si="5"/>
        <v>0</v>
      </c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0" t="s">
        <v>40</v>
      </c>
      <c r="U20" s="160" t="s">
        <v>18</v>
      </c>
      <c r="V20" s="141" t="s">
        <v>47</v>
      </c>
    </row>
    <row r="21" s="116" customFormat="1" ht="23.25" customHeight="1" spans="1:24">
      <c r="A21" s="140">
        <v>16</v>
      </c>
      <c r="B21" s="141" t="s">
        <v>48</v>
      </c>
      <c r="C21" s="137"/>
      <c r="D21" s="138"/>
      <c r="E21" s="142">
        <f t="shared" si="4"/>
        <v>0</v>
      </c>
      <c r="F21" s="142">
        <f>G21+J21+K21+L21+M21+N21+O21+P21+Q21+R21+S21+T21</f>
        <v>0</v>
      </c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0" t="s">
        <v>40</v>
      </c>
      <c r="W21" s="160" t="s">
        <v>18</v>
      </c>
      <c r="X21" s="141" t="s">
        <v>49</v>
      </c>
    </row>
    <row r="22" s="116" customFormat="1" ht="23.25" customHeight="1" spans="1:22">
      <c r="A22" s="140">
        <v>17</v>
      </c>
      <c r="B22" s="141" t="s">
        <v>50</v>
      </c>
      <c r="C22" s="137"/>
      <c r="D22" s="138"/>
      <c r="E22" s="142">
        <f t="shared" si="4"/>
        <v>0</v>
      </c>
      <c r="F22" s="142">
        <f>G22+H22+I22+J22+K22+L22+M22+N22+O22+P22+Q22+R22</f>
        <v>0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0" t="s">
        <v>40</v>
      </c>
      <c r="U22" s="160" t="s">
        <v>18</v>
      </c>
      <c r="V22" s="141" t="s">
        <v>51</v>
      </c>
    </row>
    <row r="23" s="115" customFormat="1" ht="23.25" customHeight="1" spans="1:22">
      <c r="A23" s="132">
        <v>18</v>
      </c>
      <c r="B23" s="133" t="s">
        <v>52</v>
      </c>
      <c r="C23" s="144">
        <f t="shared" ref="C23:R23" si="6">C24+C25+C26+C27+C28</f>
        <v>7926.99029126214</v>
      </c>
      <c r="D23" s="144">
        <f t="shared" si="6"/>
        <v>4583.30097087379</v>
      </c>
      <c r="E23" s="144">
        <f t="shared" si="6"/>
        <v>12510.2912621359</v>
      </c>
      <c r="F23" s="144">
        <f t="shared" si="6"/>
        <v>119937.868427184</v>
      </c>
      <c r="G23" s="144">
        <f t="shared" si="6"/>
        <v>9813.59440776699</v>
      </c>
      <c r="H23" s="144">
        <f t="shared" si="6"/>
        <v>9813.59440776699</v>
      </c>
      <c r="I23" s="144">
        <f t="shared" si="6"/>
        <v>10031.067961165</v>
      </c>
      <c r="J23" s="144">
        <f t="shared" si="6"/>
        <v>10031.067961165</v>
      </c>
      <c r="K23" s="144">
        <f t="shared" si="6"/>
        <v>10031.067961165</v>
      </c>
      <c r="L23" s="144">
        <f t="shared" si="6"/>
        <v>10031.067961165</v>
      </c>
      <c r="M23" s="144">
        <f t="shared" si="6"/>
        <v>10031.067961165</v>
      </c>
      <c r="N23" s="144">
        <f t="shared" si="6"/>
        <v>10031.067961165</v>
      </c>
      <c r="O23" s="144">
        <f t="shared" si="6"/>
        <v>10031.067961165</v>
      </c>
      <c r="P23" s="144">
        <f t="shared" si="6"/>
        <v>10031.067961165</v>
      </c>
      <c r="Q23" s="144">
        <f t="shared" si="6"/>
        <v>10031.067961165</v>
      </c>
      <c r="R23" s="144">
        <f t="shared" si="6"/>
        <v>10031.067961165</v>
      </c>
      <c r="S23" s="134"/>
      <c r="T23" s="132"/>
      <c r="U23" s="132" t="s">
        <v>18</v>
      </c>
      <c r="V23" s="133" t="s">
        <v>53</v>
      </c>
    </row>
    <row r="24" ht="23.25" customHeight="1" spans="1:22">
      <c r="A24" s="135">
        <v>19</v>
      </c>
      <c r="B24" s="136" t="s">
        <v>54</v>
      </c>
      <c r="C24" s="145">
        <f>C7/1.03*0.03</f>
        <v>7077.66990291262</v>
      </c>
      <c r="D24" s="145">
        <f>D7/1.03*0.03</f>
        <v>4092.23300970874</v>
      </c>
      <c r="E24" s="144">
        <f>C24+D24</f>
        <v>11169.9029126214</v>
      </c>
      <c r="F24" s="144">
        <f>G24+H24+I24+J24+K24+L24+M24+N24+O24+P24+Q24+R24</f>
        <v>107087.382524272</v>
      </c>
      <c r="G24" s="145">
        <f>G7/1.03*0.06</f>
        <v>8762.13786407767</v>
      </c>
      <c r="H24" s="145">
        <f t="shared" ref="H24:R24" si="7">H7/1.03*0.06</f>
        <v>8762.13786407767</v>
      </c>
      <c r="I24" s="145">
        <f t="shared" si="7"/>
        <v>8956.31067961165</v>
      </c>
      <c r="J24" s="145">
        <f t="shared" si="7"/>
        <v>8956.31067961165</v>
      </c>
      <c r="K24" s="145">
        <f t="shared" si="7"/>
        <v>8956.31067961165</v>
      </c>
      <c r="L24" s="145">
        <f t="shared" si="7"/>
        <v>8956.31067961165</v>
      </c>
      <c r="M24" s="145">
        <f t="shared" si="7"/>
        <v>8956.31067961165</v>
      </c>
      <c r="N24" s="145">
        <f t="shared" si="7"/>
        <v>8956.31067961165</v>
      </c>
      <c r="O24" s="145">
        <f t="shared" si="7"/>
        <v>8956.31067961165</v>
      </c>
      <c r="P24" s="145">
        <f t="shared" si="7"/>
        <v>8956.31067961165</v>
      </c>
      <c r="Q24" s="145">
        <f t="shared" si="7"/>
        <v>8956.31067961165</v>
      </c>
      <c r="R24" s="145">
        <f t="shared" si="7"/>
        <v>8956.31067961165</v>
      </c>
      <c r="S24" s="139"/>
      <c r="T24" s="146" t="s">
        <v>17</v>
      </c>
      <c r="U24" s="146" t="s">
        <v>18</v>
      </c>
      <c r="V24" s="136" t="s">
        <v>55</v>
      </c>
    </row>
    <row r="25" ht="23.25" customHeight="1" spans="1:22">
      <c r="A25" s="135">
        <v>21</v>
      </c>
      <c r="B25" s="136" t="s">
        <v>56</v>
      </c>
      <c r="C25" s="145">
        <f>C24*0.07</f>
        <v>495.436893203884</v>
      </c>
      <c r="D25" s="145">
        <f>D24*0.07</f>
        <v>286.456310679612</v>
      </c>
      <c r="E25" s="144">
        <f>C25+D25</f>
        <v>781.893203883495</v>
      </c>
      <c r="F25" s="144">
        <f>G25+H25+I25+J25+K25+L25+M25+N25+O25+P25+Q25+R25</f>
        <v>7496.11677669903</v>
      </c>
      <c r="G25" s="145">
        <f>G24*0.07</f>
        <v>613.349650485437</v>
      </c>
      <c r="H25" s="145">
        <f t="shared" ref="H25:R25" si="8">H24*0.07</f>
        <v>613.349650485437</v>
      </c>
      <c r="I25" s="145">
        <f t="shared" si="8"/>
        <v>626.941747572816</v>
      </c>
      <c r="J25" s="145">
        <f t="shared" si="8"/>
        <v>626.941747572816</v>
      </c>
      <c r="K25" s="145">
        <f t="shared" si="8"/>
        <v>626.941747572816</v>
      </c>
      <c r="L25" s="145">
        <f t="shared" si="8"/>
        <v>626.941747572816</v>
      </c>
      <c r="M25" s="145">
        <f t="shared" si="8"/>
        <v>626.941747572816</v>
      </c>
      <c r="N25" s="145">
        <f t="shared" si="8"/>
        <v>626.941747572816</v>
      </c>
      <c r="O25" s="145">
        <f t="shared" si="8"/>
        <v>626.941747572816</v>
      </c>
      <c r="P25" s="145">
        <f t="shared" si="8"/>
        <v>626.941747572816</v>
      </c>
      <c r="Q25" s="145">
        <f t="shared" si="8"/>
        <v>626.941747572816</v>
      </c>
      <c r="R25" s="145">
        <f t="shared" si="8"/>
        <v>626.941747572816</v>
      </c>
      <c r="S25" s="139"/>
      <c r="T25" s="146" t="s">
        <v>17</v>
      </c>
      <c r="U25" s="146" t="s">
        <v>18</v>
      </c>
      <c r="V25" s="136" t="s">
        <v>57</v>
      </c>
    </row>
    <row r="26" ht="23.25" customHeight="1" spans="1:22">
      <c r="A26" s="146">
        <v>21</v>
      </c>
      <c r="B26" s="136" t="s">
        <v>58</v>
      </c>
      <c r="C26" s="145">
        <f>C24*0.03</f>
        <v>212.330097087379</v>
      </c>
      <c r="D26" s="145">
        <f>D24*0.03</f>
        <v>122.766990291262</v>
      </c>
      <c r="E26" s="144">
        <f>C26+D26</f>
        <v>335.097087378641</v>
      </c>
      <c r="F26" s="144">
        <f>G26+H26+I26+J26+K26+L26+M26+N26+O26+P26+Q26+R26</f>
        <v>3212.62147572816</v>
      </c>
      <c r="G26" s="145">
        <f>G24*0.03</f>
        <v>262.86413592233</v>
      </c>
      <c r="H26" s="145">
        <f t="shared" ref="H26:R26" si="9">H24*0.03</f>
        <v>262.86413592233</v>
      </c>
      <c r="I26" s="145">
        <f t="shared" si="9"/>
        <v>268.689320388349</v>
      </c>
      <c r="J26" s="145">
        <f t="shared" si="9"/>
        <v>268.689320388349</v>
      </c>
      <c r="K26" s="145">
        <f t="shared" si="9"/>
        <v>268.689320388349</v>
      </c>
      <c r="L26" s="145">
        <f t="shared" si="9"/>
        <v>268.689320388349</v>
      </c>
      <c r="M26" s="145">
        <f t="shared" si="9"/>
        <v>268.689320388349</v>
      </c>
      <c r="N26" s="145">
        <f t="shared" si="9"/>
        <v>268.689320388349</v>
      </c>
      <c r="O26" s="145">
        <f t="shared" si="9"/>
        <v>268.689320388349</v>
      </c>
      <c r="P26" s="145">
        <f t="shared" si="9"/>
        <v>268.689320388349</v>
      </c>
      <c r="Q26" s="145">
        <f t="shared" si="9"/>
        <v>268.689320388349</v>
      </c>
      <c r="R26" s="145">
        <f t="shared" si="9"/>
        <v>268.689320388349</v>
      </c>
      <c r="S26" s="139"/>
      <c r="T26" s="146" t="s">
        <v>17</v>
      </c>
      <c r="U26" s="146" t="s">
        <v>18</v>
      </c>
      <c r="V26" s="136" t="s">
        <v>57</v>
      </c>
    </row>
    <row r="27" ht="23.25" customHeight="1" spans="1:22">
      <c r="A27" s="135">
        <v>22</v>
      </c>
      <c r="B27" s="136" t="s">
        <v>59</v>
      </c>
      <c r="C27" s="145">
        <f>C24*0.02</f>
        <v>141.553398058252</v>
      </c>
      <c r="D27" s="145">
        <f>D24*0.02</f>
        <v>81.8446601941748</v>
      </c>
      <c r="E27" s="144">
        <f>C27+D27</f>
        <v>223.398058252427</v>
      </c>
      <c r="F27" s="144">
        <f>G27+H27+I27+J27+K27+L27+M27+N27+O27+P27+Q27+R27</f>
        <v>2141.74765048544</v>
      </c>
      <c r="G27" s="145">
        <f>G24*0.02</f>
        <v>175.242757281553</v>
      </c>
      <c r="H27" s="145">
        <f t="shared" ref="H27:R27" si="10">H24*0.02</f>
        <v>175.242757281553</v>
      </c>
      <c r="I27" s="145">
        <f t="shared" si="10"/>
        <v>179.126213592233</v>
      </c>
      <c r="J27" s="145">
        <f t="shared" si="10"/>
        <v>179.126213592233</v>
      </c>
      <c r="K27" s="145">
        <f t="shared" si="10"/>
        <v>179.126213592233</v>
      </c>
      <c r="L27" s="145">
        <f t="shared" si="10"/>
        <v>179.126213592233</v>
      </c>
      <c r="M27" s="145">
        <f t="shared" si="10"/>
        <v>179.126213592233</v>
      </c>
      <c r="N27" s="145">
        <f t="shared" si="10"/>
        <v>179.126213592233</v>
      </c>
      <c r="O27" s="145">
        <f t="shared" si="10"/>
        <v>179.126213592233</v>
      </c>
      <c r="P27" s="145">
        <f t="shared" si="10"/>
        <v>179.126213592233</v>
      </c>
      <c r="Q27" s="145">
        <f t="shared" si="10"/>
        <v>179.126213592233</v>
      </c>
      <c r="R27" s="145">
        <f t="shared" si="10"/>
        <v>179.126213592233</v>
      </c>
      <c r="S27" s="139"/>
      <c r="T27" s="146" t="s">
        <v>17</v>
      </c>
      <c r="U27" s="146" t="s">
        <v>18</v>
      </c>
      <c r="V27" s="136" t="s">
        <v>57</v>
      </c>
    </row>
    <row r="28" ht="23.25" customHeight="1" spans="1:22">
      <c r="A28" s="146">
        <v>23</v>
      </c>
      <c r="B28" s="136" t="s">
        <v>60</v>
      </c>
      <c r="C28" s="139"/>
      <c r="D28" s="139"/>
      <c r="E28" s="134">
        <f>C28+D28</f>
        <v>0</v>
      </c>
      <c r="F28" s="134">
        <f>G28+H28+I28+J28+K28+L28+M28+N28+O28+P28+Q28+R28</f>
        <v>0</v>
      </c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46" t="s">
        <v>17</v>
      </c>
      <c r="U28" s="146" t="s">
        <v>18</v>
      </c>
      <c r="V28" s="136" t="s">
        <v>51</v>
      </c>
    </row>
    <row r="29" s="115" customFormat="1" ht="23.25" customHeight="1" spans="1:22">
      <c r="A29" s="132">
        <v>24</v>
      </c>
      <c r="B29" s="133" t="s">
        <v>61</v>
      </c>
      <c r="C29" s="134">
        <f t="shared" ref="C29:R29" si="11">C6-C14-C23</f>
        <v>37514.4597087379</v>
      </c>
      <c r="D29" s="134">
        <f t="shared" si="11"/>
        <v>67323.6990291262</v>
      </c>
      <c r="E29" s="134">
        <f t="shared" si="11"/>
        <v>104838.158737864</v>
      </c>
      <c r="F29" s="134">
        <f t="shared" si="11"/>
        <v>412318.971572815</v>
      </c>
      <c r="G29" s="134">
        <f t="shared" si="11"/>
        <v>41839.225592233</v>
      </c>
      <c r="H29" s="134">
        <f t="shared" si="11"/>
        <v>29689.225592233</v>
      </c>
      <c r="I29" s="134">
        <f t="shared" si="11"/>
        <v>39455.0520388349</v>
      </c>
      <c r="J29" s="134">
        <f t="shared" si="11"/>
        <v>34615.0520388349</v>
      </c>
      <c r="K29" s="134">
        <f t="shared" si="11"/>
        <v>34615.0520388349</v>
      </c>
      <c r="L29" s="134">
        <f t="shared" si="11"/>
        <v>33085.0520388349</v>
      </c>
      <c r="M29" s="134">
        <f t="shared" si="11"/>
        <v>34615.0520388349</v>
      </c>
      <c r="N29" s="134">
        <f t="shared" si="11"/>
        <v>34615.0520388349</v>
      </c>
      <c r="O29" s="134">
        <f t="shared" si="11"/>
        <v>26455.0520388349</v>
      </c>
      <c r="P29" s="134">
        <f t="shared" si="11"/>
        <v>34105.0520388349</v>
      </c>
      <c r="Q29" s="134">
        <f t="shared" si="11"/>
        <v>34615.0520388349</v>
      </c>
      <c r="R29" s="134">
        <f t="shared" si="11"/>
        <v>34615.0520388349</v>
      </c>
      <c r="S29" s="134"/>
      <c r="T29" s="132"/>
      <c r="U29" s="132" t="s">
        <v>18</v>
      </c>
      <c r="V29" s="133"/>
    </row>
    <row r="30" s="115" customFormat="1" ht="41.25" customHeight="1" spans="1:22">
      <c r="A30" s="132">
        <v>25</v>
      </c>
      <c r="B30" s="133" t="s">
        <v>62</v>
      </c>
      <c r="C30" s="147">
        <f>C31+C32+C33+C34+C35+C38+C41+C47+C48+C49+C50+C51+C52</f>
        <v>34945.99</v>
      </c>
      <c r="D30" s="147">
        <f>D31+D32+D33+D34+D35+D38+D41+D47+D48+D49+D50+D51+D52</f>
        <v>28035.83</v>
      </c>
      <c r="E30" s="147">
        <f>C30+D30</f>
        <v>62981.82</v>
      </c>
      <c r="F30" s="147">
        <f t="shared" ref="F30:R30" si="12">F31+F32+F33+F34+F35+F38++F41+F47+F48+F49+F50+F51+F52</f>
        <v>205330.47</v>
      </c>
      <c r="G30" s="147">
        <f t="shared" si="12"/>
        <v>6083.61</v>
      </c>
      <c r="H30" s="147">
        <f t="shared" si="12"/>
        <v>19623.61</v>
      </c>
      <c r="I30" s="147">
        <f t="shared" si="12"/>
        <v>23066.61</v>
      </c>
      <c r="J30" s="147">
        <f t="shared" si="12"/>
        <v>15217.22</v>
      </c>
      <c r="K30" s="147">
        <f t="shared" si="12"/>
        <v>18917.22</v>
      </c>
      <c r="L30" s="147">
        <f t="shared" si="12"/>
        <v>15607.22</v>
      </c>
      <c r="M30" s="147">
        <f t="shared" si="12"/>
        <v>16550.83</v>
      </c>
      <c r="N30" s="147">
        <f t="shared" si="12"/>
        <v>16550.83</v>
      </c>
      <c r="O30" s="147">
        <f t="shared" si="12"/>
        <v>17630.83</v>
      </c>
      <c r="P30" s="147">
        <f t="shared" si="12"/>
        <v>22980.83</v>
      </c>
      <c r="Q30" s="147">
        <f t="shared" si="12"/>
        <v>16550.83</v>
      </c>
      <c r="R30" s="147">
        <f t="shared" si="12"/>
        <v>16550.83</v>
      </c>
      <c r="S30" s="134"/>
      <c r="T30" s="132"/>
      <c r="U30" s="132" t="s">
        <v>18</v>
      </c>
      <c r="V30" s="133" t="s">
        <v>63</v>
      </c>
    </row>
    <row r="31" ht="27.75" customHeight="1" spans="1:22">
      <c r="A31" s="135">
        <v>26</v>
      </c>
      <c r="B31" s="136" t="s">
        <v>64</v>
      </c>
      <c r="C31" s="139"/>
      <c r="D31" s="139"/>
      <c r="E31" s="147">
        <f t="shared" ref="E31:E34" si="13">C31+D31</f>
        <v>0</v>
      </c>
      <c r="F31" s="134">
        <f>G31+H31+I31+J31+K31+L31+M31+N31+O31+P31+Q31+R31</f>
        <v>114683</v>
      </c>
      <c r="G31" s="139">
        <v>2800</v>
      </c>
      <c r="H31" s="139">
        <v>6800</v>
      </c>
      <c r="I31" s="139">
        <v>8083</v>
      </c>
      <c r="J31" s="139">
        <v>10000</v>
      </c>
      <c r="K31" s="139">
        <v>10500</v>
      </c>
      <c r="L31" s="139">
        <v>10500</v>
      </c>
      <c r="M31" s="139">
        <v>11000</v>
      </c>
      <c r="N31" s="139">
        <v>11000</v>
      </c>
      <c r="O31" s="139">
        <v>11000</v>
      </c>
      <c r="P31" s="139">
        <v>11000</v>
      </c>
      <c r="Q31" s="139">
        <v>11000</v>
      </c>
      <c r="R31" s="139">
        <v>11000</v>
      </c>
      <c r="S31" s="139"/>
      <c r="T31" s="135" t="s">
        <v>35</v>
      </c>
      <c r="U31" s="146" t="s">
        <v>18</v>
      </c>
      <c r="V31" s="136" t="s">
        <v>111</v>
      </c>
    </row>
    <row r="32" ht="27" customHeight="1" spans="1:22">
      <c r="A32" s="135">
        <v>27</v>
      </c>
      <c r="B32" s="136" t="s">
        <v>66</v>
      </c>
      <c r="C32" s="139"/>
      <c r="D32" s="139"/>
      <c r="E32" s="147">
        <f t="shared" si="13"/>
        <v>0</v>
      </c>
      <c r="F32" s="134">
        <f>G32+H32+I32+J32+K32+L32+M32+N32+O32+P32+Q32+R32</f>
        <v>30607.47</v>
      </c>
      <c r="G32" s="139">
        <v>1133.61</v>
      </c>
      <c r="H32" s="139">
        <v>1133.61</v>
      </c>
      <c r="I32" s="139">
        <v>1133.61</v>
      </c>
      <c r="J32" s="139">
        <v>2267.22</v>
      </c>
      <c r="K32" s="139">
        <v>2267.22</v>
      </c>
      <c r="L32" s="139">
        <v>2267.22</v>
      </c>
      <c r="M32" s="139">
        <v>3400.83</v>
      </c>
      <c r="N32" s="139">
        <v>3400.83</v>
      </c>
      <c r="O32" s="139">
        <v>3400.83</v>
      </c>
      <c r="P32" s="139">
        <v>3400.83</v>
      </c>
      <c r="Q32" s="139">
        <v>3400.83</v>
      </c>
      <c r="R32" s="139">
        <v>3400.83</v>
      </c>
      <c r="S32" s="139"/>
      <c r="T32" s="135" t="s">
        <v>35</v>
      </c>
      <c r="U32" s="146" t="s">
        <v>18</v>
      </c>
      <c r="V32" s="136" t="s">
        <v>67</v>
      </c>
    </row>
    <row r="33" ht="30.75" customHeight="1" spans="1:22">
      <c r="A33" s="135">
        <v>28</v>
      </c>
      <c r="B33" s="136" t="s">
        <v>68</v>
      </c>
      <c r="C33" s="139"/>
      <c r="D33" s="139"/>
      <c r="E33" s="147">
        <f t="shared" si="13"/>
        <v>0</v>
      </c>
      <c r="F33" s="134">
        <f>G33+H33+I33+J33+K33+L33+M33+N33+O33+P33+Q33+R33</f>
        <v>1190</v>
      </c>
      <c r="G33" s="139">
        <v>0</v>
      </c>
      <c r="H33" s="139">
        <v>540</v>
      </c>
      <c r="I33" s="139">
        <v>50</v>
      </c>
      <c r="J33" s="139">
        <v>0</v>
      </c>
      <c r="K33" s="139">
        <v>0</v>
      </c>
      <c r="L33" s="139">
        <v>90</v>
      </c>
      <c r="M33" s="139">
        <v>0</v>
      </c>
      <c r="N33" s="139">
        <v>0</v>
      </c>
      <c r="O33" s="139">
        <v>480</v>
      </c>
      <c r="P33" s="139">
        <v>30</v>
      </c>
      <c r="Q33" s="139">
        <v>0</v>
      </c>
      <c r="R33" s="139">
        <v>0</v>
      </c>
      <c r="S33" s="139"/>
      <c r="T33" s="135" t="s">
        <v>35</v>
      </c>
      <c r="U33" s="146" t="s">
        <v>18</v>
      </c>
      <c r="V33" s="136" t="s">
        <v>69</v>
      </c>
    </row>
    <row r="34" s="116" customFormat="1" ht="36.75" customHeight="1" spans="1:22">
      <c r="A34" s="140">
        <v>29</v>
      </c>
      <c r="B34" s="141" t="s">
        <v>70</v>
      </c>
      <c r="C34" s="137">
        <v>128</v>
      </c>
      <c r="D34" s="138">
        <v>150</v>
      </c>
      <c r="E34" s="147">
        <f t="shared" si="13"/>
        <v>278</v>
      </c>
      <c r="F34" s="142">
        <f>G34+H34+I34+J34+K34+L34+M34+N34+O34+P34+Q34+R34</f>
        <v>0</v>
      </c>
      <c r="G34" s="143">
        <v>0</v>
      </c>
      <c r="H34" s="143">
        <v>0</v>
      </c>
      <c r="I34" s="143">
        <v>0</v>
      </c>
      <c r="J34" s="143">
        <v>0</v>
      </c>
      <c r="K34" s="143">
        <v>0</v>
      </c>
      <c r="L34" s="143">
        <v>0</v>
      </c>
      <c r="M34" s="143">
        <v>0</v>
      </c>
      <c r="N34" s="143">
        <v>0</v>
      </c>
      <c r="O34" s="143">
        <v>0</v>
      </c>
      <c r="P34" s="143">
        <v>0</v>
      </c>
      <c r="Q34" s="143">
        <v>0</v>
      </c>
      <c r="R34" s="143">
        <v>0</v>
      </c>
      <c r="S34" s="143"/>
      <c r="T34" s="140" t="s">
        <v>40</v>
      </c>
      <c r="U34" s="160" t="s">
        <v>18</v>
      </c>
      <c r="V34" s="141" t="s">
        <v>71</v>
      </c>
    </row>
    <row r="35" s="117" customFormat="1" ht="25.5" customHeight="1" spans="1:22">
      <c r="A35" s="148">
        <v>30</v>
      </c>
      <c r="B35" s="149" t="s">
        <v>72</v>
      </c>
      <c r="C35" s="150">
        <f>C36+C37</f>
        <v>0</v>
      </c>
      <c r="D35" s="150">
        <f>D36+D37</f>
        <v>0</v>
      </c>
      <c r="E35" s="150">
        <f>E36+E37</f>
        <v>0</v>
      </c>
      <c r="F35" s="150">
        <f t="shared" ref="F35:R35" si="14">F36+F37</f>
        <v>8000</v>
      </c>
      <c r="G35" s="150">
        <f t="shared" si="14"/>
        <v>0</v>
      </c>
      <c r="H35" s="150">
        <f t="shared" si="14"/>
        <v>8000</v>
      </c>
      <c r="I35" s="150">
        <f t="shared" si="14"/>
        <v>0</v>
      </c>
      <c r="J35" s="150">
        <f t="shared" si="14"/>
        <v>0</v>
      </c>
      <c r="K35" s="150">
        <f t="shared" si="14"/>
        <v>0</v>
      </c>
      <c r="L35" s="150">
        <f t="shared" si="14"/>
        <v>0</v>
      </c>
      <c r="M35" s="150">
        <f t="shared" si="14"/>
        <v>0</v>
      </c>
      <c r="N35" s="150">
        <f t="shared" si="14"/>
        <v>0</v>
      </c>
      <c r="O35" s="150">
        <f t="shared" si="14"/>
        <v>0</v>
      </c>
      <c r="P35" s="150">
        <f t="shared" si="14"/>
        <v>0</v>
      </c>
      <c r="Q35" s="150">
        <f t="shared" si="14"/>
        <v>0</v>
      </c>
      <c r="R35" s="150">
        <f t="shared" si="14"/>
        <v>0</v>
      </c>
      <c r="S35" s="142"/>
      <c r="T35" s="148" t="s">
        <v>40</v>
      </c>
      <c r="U35" s="148" t="s">
        <v>18</v>
      </c>
      <c r="V35" s="165" t="s">
        <v>73</v>
      </c>
    </row>
    <row r="36" s="101" customFormat="1" ht="25.5" customHeight="1" spans="1:22">
      <c r="A36" s="146"/>
      <c r="B36" s="151" t="s">
        <v>74</v>
      </c>
      <c r="C36" s="152"/>
      <c r="D36" s="153"/>
      <c r="E36" s="152">
        <f>C36+D36</f>
        <v>0</v>
      </c>
      <c r="F36" s="154">
        <f>G36+H36+I36+J36+K36+L36+M36+N36+O36+P36+Q36+R36</f>
        <v>8000</v>
      </c>
      <c r="G36" s="154">
        <v>0</v>
      </c>
      <c r="H36" s="154">
        <v>8000</v>
      </c>
      <c r="I36" s="154">
        <v>0</v>
      </c>
      <c r="J36" s="154">
        <v>0</v>
      </c>
      <c r="K36" s="154">
        <v>0</v>
      </c>
      <c r="L36" s="154">
        <v>0</v>
      </c>
      <c r="M36" s="154">
        <v>0</v>
      </c>
      <c r="N36" s="154">
        <v>0</v>
      </c>
      <c r="O36" s="154">
        <v>0</v>
      </c>
      <c r="P36" s="154">
        <v>0</v>
      </c>
      <c r="Q36" s="154">
        <v>0</v>
      </c>
      <c r="R36" s="154">
        <v>0</v>
      </c>
      <c r="S36" s="154"/>
      <c r="T36" s="146"/>
      <c r="U36" s="146"/>
      <c r="V36" s="166"/>
    </row>
    <row r="37" s="101" customFormat="1" ht="25.5" customHeight="1" spans="1:22">
      <c r="A37" s="146"/>
      <c r="B37" s="151" t="s">
        <v>75</v>
      </c>
      <c r="C37" s="152"/>
      <c r="D37" s="153"/>
      <c r="E37" s="152">
        <f>C37+D37</f>
        <v>0</v>
      </c>
      <c r="F37" s="154">
        <f t="shared" ref="F37:F40" si="15">G37+H37+I37+J37+K37+L37+M37+N37+O37+P37+Q37+R37</f>
        <v>0</v>
      </c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46"/>
      <c r="U37" s="146"/>
      <c r="V37" s="166"/>
    </row>
    <row r="38" s="115" customFormat="1" ht="25.5" customHeight="1" spans="1:22">
      <c r="A38" s="132">
        <v>31</v>
      </c>
      <c r="B38" s="155" t="s">
        <v>76</v>
      </c>
      <c r="C38" s="147">
        <f>C39+C40</f>
        <v>280</v>
      </c>
      <c r="D38" s="147">
        <f>D39+D40</f>
        <v>0</v>
      </c>
      <c r="E38" s="147">
        <f>E39+E40</f>
        <v>280</v>
      </c>
      <c r="F38" s="147">
        <f>F39+F40</f>
        <v>0</v>
      </c>
      <c r="G38" s="147">
        <f t="shared" ref="G38:R38" si="16">G39+G40</f>
        <v>0</v>
      </c>
      <c r="H38" s="147">
        <f t="shared" si="16"/>
        <v>0</v>
      </c>
      <c r="I38" s="147">
        <f t="shared" si="16"/>
        <v>0</v>
      </c>
      <c r="J38" s="147">
        <f t="shared" si="16"/>
        <v>0</v>
      </c>
      <c r="K38" s="147">
        <f t="shared" si="16"/>
        <v>0</v>
      </c>
      <c r="L38" s="147">
        <f t="shared" si="16"/>
        <v>0</v>
      </c>
      <c r="M38" s="147">
        <f t="shared" si="16"/>
        <v>0</v>
      </c>
      <c r="N38" s="147">
        <f t="shared" si="16"/>
        <v>0</v>
      </c>
      <c r="O38" s="147">
        <f t="shared" si="16"/>
        <v>0</v>
      </c>
      <c r="P38" s="147">
        <f t="shared" si="16"/>
        <v>0</v>
      </c>
      <c r="Q38" s="147">
        <f t="shared" si="16"/>
        <v>0</v>
      </c>
      <c r="R38" s="147">
        <f t="shared" si="16"/>
        <v>0</v>
      </c>
      <c r="S38" s="134"/>
      <c r="T38" s="132"/>
      <c r="U38" s="132"/>
      <c r="V38" s="133"/>
    </row>
    <row r="39" s="101" customFormat="1" ht="25.5" customHeight="1" spans="1:22">
      <c r="A39" s="146"/>
      <c r="B39" s="151" t="s">
        <v>77</v>
      </c>
      <c r="C39" s="152"/>
      <c r="D39" s="153"/>
      <c r="E39" s="152">
        <f>C39+D39</f>
        <v>0</v>
      </c>
      <c r="F39" s="154">
        <f t="shared" si="15"/>
        <v>0</v>
      </c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46"/>
      <c r="U39" s="146"/>
      <c r="V39" s="166"/>
    </row>
    <row r="40" s="101" customFormat="1" ht="25.5" customHeight="1" spans="1:22">
      <c r="A40" s="146"/>
      <c r="B40" s="151" t="s">
        <v>78</v>
      </c>
      <c r="C40" s="156">
        <v>280</v>
      </c>
      <c r="D40" s="153"/>
      <c r="E40" s="152">
        <f>C40+D40</f>
        <v>280</v>
      </c>
      <c r="F40" s="154">
        <f t="shared" si="15"/>
        <v>0</v>
      </c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46"/>
      <c r="U40" s="146"/>
      <c r="V40" s="166"/>
    </row>
    <row r="41" s="115" customFormat="1" ht="34.5" customHeight="1" spans="1:22">
      <c r="A41" s="132">
        <v>32</v>
      </c>
      <c r="B41" s="157" t="s">
        <v>79</v>
      </c>
      <c r="C41" s="134">
        <f t="shared" ref="C41:R41" si="17">C42+C43+C44+C45+C46</f>
        <v>12120</v>
      </c>
      <c r="D41" s="134">
        <f t="shared" si="17"/>
        <v>19867.07</v>
      </c>
      <c r="E41" s="134">
        <f t="shared" si="17"/>
        <v>31987.07</v>
      </c>
      <c r="F41" s="134">
        <f t="shared" si="17"/>
        <v>32600</v>
      </c>
      <c r="G41" s="134">
        <f t="shared" si="17"/>
        <v>2150</v>
      </c>
      <c r="H41" s="134">
        <f t="shared" si="17"/>
        <v>3150</v>
      </c>
      <c r="I41" s="134">
        <f t="shared" si="17"/>
        <v>3750</v>
      </c>
      <c r="J41" s="134">
        <f t="shared" si="17"/>
        <v>2750</v>
      </c>
      <c r="K41" s="134">
        <f t="shared" si="17"/>
        <v>2150</v>
      </c>
      <c r="L41" s="134">
        <f t="shared" si="17"/>
        <v>2750</v>
      </c>
      <c r="M41" s="134">
        <f t="shared" si="17"/>
        <v>2150</v>
      </c>
      <c r="N41" s="134">
        <f t="shared" si="17"/>
        <v>2150</v>
      </c>
      <c r="O41" s="134">
        <f t="shared" si="17"/>
        <v>2750</v>
      </c>
      <c r="P41" s="134">
        <f t="shared" si="17"/>
        <v>4550</v>
      </c>
      <c r="Q41" s="134">
        <f t="shared" si="17"/>
        <v>2150</v>
      </c>
      <c r="R41" s="134">
        <f t="shared" si="17"/>
        <v>2150</v>
      </c>
      <c r="S41" s="134"/>
      <c r="T41" s="132"/>
      <c r="U41" s="132" t="s">
        <v>18</v>
      </c>
      <c r="V41" s="133" t="s">
        <v>80</v>
      </c>
    </row>
    <row r="42" s="116" customFormat="1" ht="27" customHeight="1" spans="1:22">
      <c r="A42" s="140"/>
      <c r="B42" s="158" t="s">
        <v>81</v>
      </c>
      <c r="C42" s="137">
        <v>3540</v>
      </c>
      <c r="D42" s="138">
        <v>567.07</v>
      </c>
      <c r="E42" s="142">
        <f>C42+D42</f>
        <v>4107.07</v>
      </c>
      <c r="F42" s="142">
        <f>G42+H42+I42+J42+K42+L42+M42+N42+O42+P42+Q42+R42</f>
        <v>10320</v>
      </c>
      <c r="G42" s="143">
        <v>860</v>
      </c>
      <c r="H42" s="143">
        <v>860</v>
      </c>
      <c r="I42" s="143">
        <v>860</v>
      </c>
      <c r="J42" s="143">
        <v>860</v>
      </c>
      <c r="K42" s="143">
        <v>860</v>
      </c>
      <c r="L42" s="143">
        <v>860</v>
      </c>
      <c r="M42" s="143">
        <v>860</v>
      </c>
      <c r="N42" s="143">
        <v>860</v>
      </c>
      <c r="O42" s="143">
        <v>860</v>
      </c>
      <c r="P42" s="143">
        <v>860</v>
      </c>
      <c r="Q42" s="143">
        <v>860</v>
      </c>
      <c r="R42" s="143">
        <v>860</v>
      </c>
      <c r="S42" s="143"/>
      <c r="T42" s="167" t="s">
        <v>40</v>
      </c>
      <c r="U42" s="167" t="s">
        <v>18</v>
      </c>
      <c r="V42" s="141"/>
    </row>
    <row r="43" s="116" customFormat="1" ht="29.25" customHeight="1" spans="1:22">
      <c r="A43" s="140"/>
      <c r="B43" s="158" t="s">
        <v>82</v>
      </c>
      <c r="C43" s="137"/>
      <c r="D43" s="138"/>
      <c r="E43" s="142">
        <f t="shared" ref="E43:E52" si="18">C43+D43</f>
        <v>0</v>
      </c>
      <c r="F43" s="142">
        <f>G43+H43+I43+J43+K43+L43+M43+N43+O43+P43+Q43+R43</f>
        <v>6800</v>
      </c>
      <c r="G43" s="143">
        <v>0</v>
      </c>
      <c r="H43" s="143">
        <v>1000</v>
      </c>
      <c r="I43" s="143">
        <v>1600</v>
      </c>
      <c r="J43" s="143">
        <v>600</v>
      </c>
      <c r="K43" s="143">
        <v>0</v>
      </c>
      <c r="L43" s="143">
        <v>600</v>
      </c>
      <c r="M43" s="143">
        <v>0</v>
      </c>
      <c r="N43" s="143">
        <v>0</v>
      </c>
      <c r="O43" s="143">
        <v>600</v>
      </c>
      <c r="P43" s="143">
        <v>2400</v>
      </c>
      <c r="Q43" s="143">
        <v>0</v>
      </c>
      <c r="R43" s="143">
        <v>0</v>
      </c>
      <c r="S43" s="143"/>
      <c r="T43" s="167" t="s">
        <v>40</v>
      </c>
      <c r="U43" s="167" t="s">
        <v>18</v>
      </c>
      <c r="V43" s="141"/>
    </row>
    <row r="44" s="116" customFormat="1" ht="34.5" customHeight="1" spans="1:22">
      <c r="A44" s="140"/>
      <c r="B44" s="158" t="s">
        <v>83</v>
      </c>
      <c r="C44" s="137"/>
      <c r="D44" s="138"/>
      <c r="E44" s="142">
        <f t="shared" si="18"/>
        <v>0</v>
      </c>
      <c r="F44" s="142">
        <f>G44+H44+I44+J44+K44+L44+M44+N44+O44+P44+Q44+R44</f>
        <v>15480</v>
      </c>
      <c r="G44" s="143">
        <v>1290</v>
      </c>
      <c r="H44" s="143">
        <v>1290</v>
      </c>
      <c r="I44" s="143">
        <v>1290</v>
      </c>
      <c r="J44" s="143">
        <v>1290</v>
      </c>
      <c r="K44" s="143">
        <v>1290</v>
      </c>
      <c r="L44" s="143">
        <v>1290</v>
      </c>
      <c r="M44" s="143">
        <v>1290</v>
      </c>
      <c r="N44" s="143">
        <v>1290</v>
      </c>
      <c r="O44" s="143">
        <v>1290</v>
      </c>
      <c r="P44" s="143">
        <v>1290</v>
      </c>
      <c r="Q44" s="143">
        <v>1290</v>
      </c>
      <c r="R44" s="143">
        <v>1290</v>
      </c>
      <c r="S44" s="143"/>
      <c r="T44" s="167" t="s">
        <v>40</v>
      </c>
      <c r="U44" s="167" t="s">
        <v>18</v>
      </c>
      <c r="V44" s="141"/>
    </row>
    <row r="45" s="116" customFormat="1" ht="34.5" customHeight="1" spans="1:22">
      <c r="A45" s="140"/>
      <c r="B45" s="158" t="s">
        <v>84</v>
      </c>
      <c r="C45" s="137"/>
      <c r="D45" s="138"/>
      <c r="E45" s="142">
        <f t="shared" si="18"/>
        <v>0</v>
      </c>
      <c r="F45" s="142">
        <f>G45+H45+I45+J45+K45+L45+M45+N45+O45+P45+Q45+R45</f>
        <v>0</v>
      </c>
      <c r="G45" s="143">
        <v>0</v>
      </c>
      <c r="H45" s="143">
        <v>0</v>
      </c>
      <c r="I45" s="143">
        <v>0</v>
      </c>
      <c r="J45" s="143">
        <v>0</v>
      </c>
      <c r="K45" s="143">
        <v>0</v>
      </c>
      <c r="L45" s="143">
        <v>0</v>
      </c>
      <c r="M45" s="143">
        <v>0</v>
      </c>
      <c r="N45" s="143">
        <v>0</v>
      </c>
      <c r="O45" s="143">
        <v>0</v>
      </c>
      <c r="P45" s="143">
        <v>0</v>
      </c>
      <c r="Q45" s="143">
        <v>0</v>
      </c>
      <c r="R45" s="143">
        <v>0</v>
      </c>
      <c r="S45" s="143"/>
      <c r="T45" s="167" t="s">
        <v>40</v>
      </c>
      <c r="U45" s="167" t="s">
        <v>18</v>
      </c>
      <c r="V45" s="141"/>
    </row>
    <row r="46" s="116" customFormat="1" ht="34.5" customHeight="1" spans="1:22">
      <c r="A46" s="140"/>
      <c r="B46" s="158" t="s">
        <v>85</v>
      </c>
      <c r="C46" s="137">
        <v>8580</v>
      </c>
      <c r="D46" s="138">
        <v>19300</v>
      </c>
      <c r="E46" s="142">
        <f t="shared" si="18"/>
        <v>27880</v>
      </c>
      <c r="F46" s="142">
        <v>0</v>
      </c>
      <c r="G46" s="143">
        <v>0</v>
      </c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67" t="s">
        <v>35</v>
      </c>
      <c r="U46" s="167" t="s">
        <v>18</v>
      </c>
      <c r="V46" s="141"/>
    </row>
    <row r="47" s="116" customFormat="1" ht="24.75" customHeight="1" spans="1:22">
      <c r="A47" s="140">
        <v>33</v>
      </c>
      <c r="B47" s="159" t="s">
        <v>86</v>
      </c>
      <c r="C47" s="137"/>
      <c r="D47" s="138"/>
      <c r="E47" s="142">
        <f t="shared" si="18"/>
        <v>0</v>
      </c>
      <c r="F47" s="142">
        <f t="shared" ref="F47:F52" si="19">G47+H47+I47+J47+K47+L47+M47+N47+O47+P47+Q47+R47</f>
        <v>0</v>
      </c>
      <c r="G47" s="143">
        <v>0</v>
      </c>
      <c r="H47" s="143">
        <v>0</v>
      </c>
      <c r="I47" s="143">
        <v>0</v>
      </c>
      <c r="J47" s="143">
        <v>0</v>
      </c>
      <c r="K47" s="143">
        <v>0</v>
      </c>
      <c r="L47" s="143">
        <v>0</v>
      </c>
      <c r="M47" s="143">
        <v>0</v>
      </c>
      <c r="N47" s="143">
        <v>0</v>
      </c>
      <c r="O47" s="143">
        <v>0</v>
      </c>
      <c r="P47" s="143">
        <v>0</v>
      </c>
      <c r="Q47" s="143">
        <v>0</v>
      </c>
      <c r="R47" s="143">
        <v>0</v>
      </c>
      <c r="S47" s="143"/>
      <c r="T47" s="140" t="s">
        <v>40</v>
      </c>
      <c r="U47" s="160" t="s">
        <v>18</v>
      </c>
      <c r="V47" s="141" t="s">
        <v>80</v>
      </c>
    </row>
    <row r="48" s="116" customFormat="1" ht="20.25" customHeight="1" spans="1:22">
      <c r="A48" s="160">
        <v>34</v>
      </c>
      <c r="B48" s="159" t="s">
        <v>87</v>
      </c>
      <c r="C48" s="137"/>
      <c r="D48" s="138"/>
      <c r="E48" s="142">
        <f t="shared" si="18"/>
        <v>0</v>
      </c>
      <c r="F48" s="142">
        <f t="shared" si="19"/>
        <v>0</v>
      </c>
      <c r="G48" s="143">
        <v>0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  <c r="M48" s="143">
        <v>0</v>
      </c>
      <c r="N48" s="143">
        <v>0</v>
      </c>
      <c r="O48" s="143">
        <v>0</v>
      </c>
      <c r="P48" s="143">
        <v>0</v>
      </c>
      <c r="Q48" s="143">
        <v>0</v>
      </c>
      <c r="R48" s="143">
        <v>0</v>
      </c>
      <c r="S48" s="143"/>
      <c r="T48" s="140" t="s">
        <v>40</v>
      </c>
      <c r="U48" s="160" t="s">
        <v>18</v>
      </c>
      <c r="V48" s="141" t="s">
        <v>80</v>
      </c>
    </row>
    <row r="49" s="116" customFormat="1" ht="24" customHeight="1" spans="1:22">
      <c r="A49" s="140">
        <v>35</v>
      </c>
      <c r="B49" s="159" t="s">
        <v>88</v>
      </c>
      <c r="C49" s="137"/>
      <c r="D49" s="138"/>
      <c r="E49" s="142">
        <f t="shared" si="18"/>
        <v>0</v>
      </c>
      <c r="F49" s="142">
        <f t="shared" si="19"/>
        <v>8000</v>
      </c>
      <c r="G49" s="143">
        <v>0</v>
      </c>
      <c r="H49" s="143">
        <v>0</v>
      </c>
      <c r="I49" s="143">
        <v>0</v>
      </c>
      <c r="J49" s="143">
        <v>0</v>
      </c>
      <c r="K49" s="143">
        <v>4000</v>
      </c>
      <c r="L49" s="143">
        <v>0</v>
      </c>
      <c r="M49" s="143">
        <v>0</v>
      </c>
      <c r="N49" s="143">
        <v>0</v>
      </c>
      <c r="O49" s="143">
        <v>0</v>
      </c>
      <c r="P49" s="143">
        <v>4000</v>
      </c>
      <c r="Q49" s="143">
        <v>0</v>
      </c>
      <c r="R49" s="143">
        <v>0</v>
      </c>
      <c r="S49" s="143"/>
      <c r="T49" s="140" t="s">
        <v>40</v>
      </c>
      <c r="U49" s="160" t="s">
        <v>18</v>
      </c>
      <c r="V49" s="141" t="s">
        <v>80</v>
      </c>
    </row>
    <row r="50" s="116" customFormat="1" ht="23.25" customHeight="1" spans="1:22">
      <c r="A50" s="160">
        <v>36</v>
      </c>
      <c r="B50" s="159" t="s">
        <v>89</v>
      </c>
      <c r="C50" s="137">
        <v>0</v>
      </c>
      <c r="D50" s="138"/>
      <c r="E50" s="142">
        <f t="shared" si="18"/>
        <v>0</v>
      </c>
      <c r="F50" s="142">
        <f t="shared" si="19"/>
        <v>200</v>
      </c>
      <c r="G50" s="143">
        <v>0</v>
      </c>
      <c r="H50" s="143">
        <v>0</v>
      </c>
      <c r="I50" s="143">
        <v>0</v>
      </c>
      <c r="J50" s="143">
        <v>200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143">
        <v>0</v>
      </c>
      <c r="R50" s="143">
        <v>0</v>
      </c>
      <c r="S50" s="143"/>
      <c r="T50" s="140" t="s">
        <v>40</v>
      </c>
      <c r="U50" s="160" t="s">
        <v>18</v>
      </c>
      <c r="V50" s="141" t="s">
        <v>80</v>
      </c>
    </row>
    <row r="51" s="116" customFormat="1" ht="23.25" customHeight="1" spans="1:22">
      <c r="A51" s="140">
        <v>37</v>
      </c>
      <c r="B51" s="159" t="s">
        <v>90</v>
      </c>
      <c r="C51" s="137">
        <v>5437</v>
      </c>
      <c r="D51" s="138">
        <v>1137</v>
      </c>
      <c r="E51" s="142">
        <f t="shared" si="18"/>
        <v>6574</v>
      </c>
      <c r="F51" s="142">
        <f t="shared" si="19"/>
        <v>10050</v>
      </c>
      <c r="G51" s="143">
        <v>0</v>
      </c>
      <c r="H51" s="143">
        <v>0</v>
      </c>
      <c r="I51" s="143">
        <v>10050</v>
      </c>
      <c r="J51" s="143">
        <v>0</v>
      </c>
      <c r="K51" s="143">
        <v>0</v>
      </c>
      <c r="L51" s="143">
        <v>0</v>
      </c>
      <c r="M51" s="143">
        <v>0</v>
      </c>
      <c r="N51" s="143">
        <v>0</v>
      </c>
      <c r="O51" s="143">
        <v>0</v>
      </c>
      <c r="P51" s="143">
        <v>0</v>
      </c>
      <c r="Q51" s="143">
        <v>0</v>
      </c>
      <c r="R51" s="143">
        <v>0</v>
      </c>
      <c r="S51" s="143"/>
      <c r="T51" s="140" t="s">
        <v>91</v>
      </c>
      <c r="U51" s="160" t="s">
        <v>18</v>
      </c>
      <c r="V51" s="141" t="s">
        <v>92</v>
      </c>
    </row>
    <row r="52" ht="23.25" customHeight="1" spans="1:22">
      <c r="A52" s="146">
        <v>38</v>
      </c>
      <c r="B52" s="161" t="s">
        <v>93</v>
      </c>
      <c r="C52" s="137">
        <v>16980.99</v>
      </c>
      <c r="D52" s="138">
        <v>6881.76</v>
      </c>
      <c r="E52" s="142">
        <f t="shared" si="18"/>
        <v>23862.75</v>
      </c>
      <c r="F52" s="134">
        <f t="shared" si="19"/>
        <v>0</v>
      </c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5"/>
      <c r="U52" s="146" t="s">
        <v>18</v>
      </c>
      <c r="V52" s="136" t="s">
        <v>51</v>
      </c>
    </row>
    <row r="53" s="115" customFormat="1" ht="23.25" customHeight="1" spans="1:22">
      <c r="A53" s="132">
        <v>39</v>
      </c>
      <c r="B53" s="133" t="s">
        <v>94</v>
      </c>
      <c r="C53" s="134">
        <f t="shared" ref="C53:R53" si="20">C54+C55+C56</f>
        <v>0</v>
      </c>
      <c r="D53" s="134">
        <f t="shared" si="20"/>
        <v>0</v>
      </c>
      <c r="E53" s="134">
        <f t="shared" si="20"/>
        <v>0</v>
      </c>
      <c r="F53" s="134">
        <f t="shared" si="20"/>
        <v>0</v>
      </c>
      <c r="G53" s="134">
        <f t="shared" si="20"/>
        <v>0</v>
      </c>
      <c r="H53" s="134">
        <f t="shared" si="20"/>
        <v>0</v>
      </c>
      <c r="I53" s="134">
        <f t="shared" si="20"/>
        <v>0</v>
      </c>
      <c r="J53" s="134">
        <f t="shared" si="20"/>
        <v>0</v>
      </c>
      <c r="K53" s="134">
        <f t="shared" si="20"/>
        <v>0</v>
      </c>
      <c r="L53" s="134">
        <f t="shared" si="20"/>
        <v>0</v>
      </c>
      <c r="M53" s="134">
        <f t="shared" si="20"/>
        <v>0</v>
      </c>
      <c r="N53" s="134">
        <f t="shared" si="20"/>
        <v>0</v>
      </c>
      <c r="O53" s="134">
        <f t="shared" si="20"/>
        <v>0</v>
      </c>
      <c r="P53" s="134">
        <f t="shared" si="20"/>
        <v>0</v>
      </c>
      <c r="Q53" s="134">
        <f t="shared" si="20"/>
        <v>0</v>
      </c>
      <c r="R53" s="134">
        <f t="shared" si="20"/>
        <v>0</v>
      </c>
      <c r="S53" s="134"/>
      <c r="T53" s="132"/>
      <c r="U53" s="132" t="s">
        <v>18</v>
      </c>
      <c r="V53" s="133" t="s">
        <v>95</v>
      </c>
    </row>
    <row r="54" ht="23.25" customHeight="1" spans="1:22">
      <c r="A54" s="146">
        <v>40</v>
      </c>
      <c r="B54" s="136" t="s">
        <v>96</v>
      </c>
      <c r="C54" s="139"/>
      <c r="D54" s="139"/>
      <c r="E54" s="134">
        <f>C54+D54</f>
        <v>0</v>
      </c>
      <c r="F54" s="134">
        <f>G54+H54+I54+J54+K54+L54+M54+N54+O54+P54+Q54+R54</f>
        <v>0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46" t="s">
        <v>17</v>
      </c>
      <c r="U54" s="146" t="s">
        <v>18</v>
      </c>
      <c r="V54" s="136" t="s">
        <v>51</v>
      </c>
    </row>
    <row r="55" ht="23.25" customHeight="1" spans="1:22">
      <c r="A55" s="135">
        <v>41</v>
      </c>
      <c r="B55" s="136" t="s">
        <v>97</v>
      </c>
      <c r="C55" s="139"/>
      <c r="D55" s="139"/>
      <c r="E55" s="134">
        <f>C55+D55</f>
        <v>0</v>
      </c>
      <c r="F55" s="134">
        <f>G55+H55+I55+J55+K55+L55+M55+N55+O55+P55+Q55+R55</f>
        <v>0</v>
      </c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46" t="s">
        <v>17</v>
      </c>
      <c r="U55" s="146" t="s">
        <v>18</v>
      </c>
      <c r="V55" s="136" t="s">
        <v>51</v>
      </c>
    </row>
    <row r="56" ht="23.25" customHeight="1" spans="1:22">
      <c r="A56" s="146">
        <v>42</v>
      </c>
      <c r="B56" s="136" t="s">
        <v>98</v>
      </c>
      <c r="C56" s="139"/>
      <c r="D56" s="139"/>
      <c r="E56" s="134">
        <f>C56+D56</f>
        <v>0</v>
      </c>
      <c r="F56" s="134">
        <f>G56+H56+I56+J56+K56+L56+M56+N56+O56+P56+Q56+R56</f>
        <v>0</v>
      </c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68"/>
      <c r="T56" s="146" t="s">
        <v>17</v>
      </c>
      <c r="U56" s="146" t="s">
        <v>18</v>
      </c>
      <c r="V56" s="136" t="s">
        <v>51</v>
      </c>
    </row>
    <row r="57" s="115" customFormat="1" ht="23.25" customHeight="1" spans="1:22">
      <c r="A57" s="132">
        <v>43</v>
      </c>
      <c r="B57" s="133" t="s">
        <v>99</v>
      </c>
      <c r="C57" s="134">
        <f t="shared" ref="C57:R57" si="21">C29-C30-C53</f>
        <v>2568.46970873787</v>
      </c>
      <c r="D57" s="134">
        <f t="shared" si="21"/>
        <v>39287.8690291262</v>
      </c>
      <c r="E57" s="134">
        <f t="shared" si="21"/>
        <v>41856.3387378641</v>
      </c>
      <c r="F57" s="134">
        <f t="shared" si="21"/>
        <v>206988.501572815</v>
      </c>
      <c r="G57" s="134">
        <f t="shared" si="21"/>
        <v>35755.615592233</v>
      </c>
      <c r="H57" s="134">
        <f t="shared" si="21"/>
        <v>10065.615592233</v>
      </c>
      <c r="I57" s="134">
        <f t="shared" si="21"/>
        <v>16388.4420388349</v>
      </c>
      <c r="J57" s="134">
        <f t="shared" si="21"/>
        <v>19397.8320388349</v>
      </c>
      <c r="K57" s="134">
        <f t="shared" si="21"/>
        <v>15697.8320388349</v>
      </c>
      <c r="L57" s="134">
        <f t="shared" si="21"/>
        <v>17477.8320388349</v>
      </c>
      <c r="M57" s="134">
        <f t="shared" si="21"/>
        <v>18064.2220388349</v>
      </c>
      <c r="N57" s="134">
        <f t="shared" si="21"/>
        <v>18064.2220388349</v>
      </c>
      <c r="O57" s="134">
        <f t="shared" si="21"/>
        <v>8824.22203883495</v>
      </c>
      <c r="P57" s="134">
        <f t="shared" si="21"/>
        <v>11124.2220388349</v>
      </c>
      <c r="Q57" s="134">
        <f t="shared" si="21"/>
        <v>18064.2220388349</v>
      </c>
      <c r="R57" s="169">
        <f t="shared" si="21"/>
        <v>18064.2220388349</v>
      </c>
      <c r="S57" s="134"/>
      <c r="T57" s="132"/>
      <c r="U57" s="132" t="s">
        <v>18</v>
      </c>
      <c r="V57" s="133"/>
    </row>
    <row r="58" s="115" customFormat="1" ht="23.25" customHeight="1" spans="1:22">
      <c r="A58" s="132">
        <v>44</v>
      </c>
      <c r="B58" s="133" t="s">
        <v>100</v>
      </c>
      <c r="C58" s="134"/>
      <c r="D58" s="134"/>
      <c r="E58" s="134">
        <f>C58</f>
        <v>0</v>
      </c>
      <c r="F58" s="134">
        <f>G58+H58+I58+J58+K58+L58+M58+N58+O58+P58+Q58+R58</f>
        <v>0</v>
      </c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69"/>
      <c r="S58" s="134"/>
      <c r="T58" s="132"/>
      <c r="U58" s="132" t="s">
        <v>18</v>
      </c>
      <c r="V58" s="133" t="s">
        <v>51</v>
      </c>
    </row>
    <row r="59" s="115" customFormat="1" ht="23.25" customHeight="1" spans="1:22">
      <c r="A59" s="132">
        <v>45</v>
      </c>
      <c r="B59" s="133" t="s">
        <v>101</v>
      </c>
      <c r="C59" s="134"/>
      <c r="D59" s="134"/>
      <c r="E59" s="134">
        <f>C59</f>
        <v>0</v>
      </c>
      <c r="F59" s="134">
        <f>G59+H59+I59+J59+K59+L59+M59+N59+O59+P59+Q59+R59</f>
        <v>0</v>
      </c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69"/>
      <c r="S59" s="134"/>
      <c r="T59" s="132"/>
      <c r="U59" s="132" t="s">
        <v>18</v>
      </c>
      <c r="V59" s="133" t="s">
        <v>51</v>
      </c>
    </row>
    <row r="60" s="115" customFormat="1" ht="23.25" customHeight="1" spans="1:22">
      <c r="A60" s="132">
        <v>46</v>
      </c>
      <c r="B60" s="133" t="s">
        <v>102</v>
      </c>
      <c r="C60" s="134"/>
      <c r="D60" s="134"/>
      <c r="E60" s="134">
        <f>C60</f>
        <v>0</v>
      </c>
      <c r="F60" s="134">
        <f>G60+H60+I60+J60+K60+L60+M60+N60+O60+P60+Q60+R60</f>
        <v>0</v>
      </c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69"/>
      <c r="S60" s="134"/>
      <c r="T60" s="132"/>
      <c r="U60" s="132" t="s">
        <v>18</v>
      </c>
      <c r="V60" s="133" t="s">
        <v>51</v>
      </c>
    </row>
    <row r="61" s="115" customFormat="1" ht="23.25" customHeight="1" spans="1:22">
      <c r="A61" s="132">
        <v>47</v>
      </c>
      <c r="B61" s="133" t="s">
        <v>103</v>
      </c>
      <c r="C61" s="134"/>
      <c r="D61" s="134"/>
      <c r="E61" s="134">
        <f>C61</f>
        <v>0</v>
      </c>
      <c r="F61" s="134">
        <f>G61+H61+I61+J61+K61+L61+M61+N61+O61+P61+Q61+R61</f>
        <v>0</v>
      </c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69"/>
      <c r="S61" s="134"/>
      <c r="T61" s="132"/>
      <c r="U61" s="132" t="s">
        <v>18</v>
      </c>
      <c r="V61" s="133" t="s">
        <v>51</v>
      </c>
    </row>
    <row r="62" s="115" customFormat="1" ht="23.25" customHeight="1" spans="1:22">
      <c r="A62" s="132">
        <v>48</v>
      </c>
      <c r="B62" s="133" t="s">
        <v>104</v>
      </c>
      <c r="C62" s="134">
        <f t="shared" ref="C62:R62" si="22">C57+C58-C59+C60-C61</f>
        <v>2568.46970873787</v>
      </c>
      <c r="D62" s="134">
        <f t="shared" si="22"/>
        <v>39287.8690291262</v>
      </c>
      <c r="E62" s="134">
        <f t="shared" si="22"/>
        <v>41856.3387378641</v>
      </c>
      <c r="F62" s="134">
        <f t="shared" si="22"/>
        <v>206988.501572815</v>
      </c>
      <c r="G62" s="134">
        <f t="shared" si="22"/>
        <v>35755.615592233</v>
      </c>
      <c r="H62" s="134">
        <f t="shared" si="22"/>
        <v>10065.615592233</v>
      </c>
      <c r="I62" s="134">
        <f t="shared" si="22"/>
        <v>16388.4420388349</v>
      </c>
      <c r="J62" s="134">
        <f t="shared" si="22"/>
        <v>19397.8320388349</v>
      </c>
      <c r="K62" s="134">
        <f t="shared" si="22"/>
        <v>15697.8320388349</v>
      </c>
      <c r="L62" s="134">
        <f t="shared" si="22"/>
        <v>17477.8320388349</v>
      </c>
      <c r="M62" s="134">
        <f t="shared" si="22"/>
        <v>18064.2220388349</v>
      </c>
      <c r="N62" s="134">
        <f t="shared" si="22"/>
        <v>18064.2220388349</v>
      </c>
      <c r="O62" s="134">
        <f t="shared" si="22"/>
        <v>8824.22203883495</v>
      </c>
      <c r="P62" s="134">
        <f t="shared" si="22"/>
        <v>11124.2220388349</v>
      </c>
      <c r="Q62" s="134">
        <f t="shared" si="22"/>
        <v>18064.2220388349</v>
      </c>
      <c r="R62" s="169">
        <f t="shared" si="22"/>
        <v>18064.2220388349</v>
      </c>
      <c r="S62" s="134"/>
      <c r="T62" s="132"/>
      <c r="U62" s="132"/>
      <c r="V62" s="133"/>
    </row>
    <row r="63" s="115" customFormat="1" ht="23.25" customHeight="1" spans="1:22">
      <c r="A63" s="132">
        <v>49</v>
      </c>
      <c r="B63" s="162" t="s">
        <v>105</v>
      </c>
      <c r="C63" s="134">
        <f t="shared" ref="C63:R63" si="23">C62*0.25</f>
        <v>642.117427184468</v>
      </c>
      <c r="D63" s="134">
        <f t="shared" si="23"/>
        <v>9821.96725728155</v>
      </c>
      <c r="E63" s="134">
        <f t="shared" si="23"/>
        <v>10464.084684466</v>
      </c>
      <c r="F63" s="134">
        <f t="shared" si="23"/>
        <v>51747.1253932038</v>
      </c>
      <c r="G63" s="134">
        <f t="shared" si="23"/>
        <v>8938.90389805825</v>
      </c>
      <c r="H63" s="134">
        <f t="shared" si="23"/>
        <v>2516.40389805825</v>
      </c>
      <c r="I63" s="134">
        <f t="shared" si="23"/>
        <v>4097.11050970874</v>
      </c>
      <c r="J63" s="134">
        <f t="shared" si="23"/>
        <v>4849.45800970874</v>
      </c>
      <c r="K63" s="134">
        <f t="shared" si="23"/>
        <v>3924.45800970874</v>
      </c>
      <c r="L63" s="134">
        <f t="shared" si="23"/>
        <v>4369.45800970874</v>
      </c>
      <c r="M63" s="134">
        <f t="shared" si="23"/>
        <v>4516.05550970874</v>
      </c>
      <c r="N63" s="134">
        <f t="shared" si="23"/>
        <v>4516.05550970874</v>
      </c>
      <c r="O63" s="134">
        <f t="shared" si="23"/>
        <v>2206.05550970874</v>
      </c>
      <c r="P63" s="134">
        <f t="shared" si="23"/>
        <v>2781.05550970874</v>
      </c>
      <c r="Q63" s="134">
        <f t="shared" si="23"/>
        <v>4516.05550970874</v>
      </c>
      <c r="R63" s="169">
        <f t="shared" si="23"/>
        <v>4516.05550970874</v>
      </c>
      <c r="S63" s="134"/>
      <c r="T63" s="132"/>
      <c r="U63" s="132"/>
      <c r="V63" s="133"/>
    </row>
    <row r="64" s="115" customFormat="1" ht="23.25" customHeight="1" spans="1:22">
      <c r="A64" s="132">
        <v>50</v>
      </c>
      <c r="B64" s="133" t="s">
        <v>106</v>
      </c>
      <c r="C64" s="134">
        <f t="shared" ref="C64:R64" si="24">C62-C63</f>
        <v>1926.35228155341</v>
      </c>
      <c r="D64" s="134">
        <f t="shared" si="24"/>
        <v>29465.9017718447</v>
      </c>
      <c r="E64" s="134">
        <f t="shared" si="24"/>
        <v>31392.2540533981</v>
      </c>
      <c r="F64" s="134">
        <f t="shared" si="24"/>
        <v>155241.376179612</v>
      </c>
      <c r="G64" s="134">
        <f t="shared" si="24"/>
        <v>26816.7116941748</v>
      </c>
      <c r="H64" s="134">
        <f t="shared" si="24"/>
        <v>7549.21169417476</v>
      </c>
      <c r="I64" s="134">
        <f t="shared" si="24"/>
        <v>12291.3315291262</v>
      </c>
      <c r="J64" s="134">
        <f t="shared" si="24"/>
        <v>14548.3740291262</v>
      </c>
      <c r="K64" s="134">
        <f t="shared" si="24"/>
        <v>11773.3740291262</v>
      </c>
      <c r="L64" s="134">
        <f t="shared" si="24"/>
        <v>13108.3740291262</v>
      </c>
      <c r="M64" s="134">
        <f t="shared" si="24"/>
        <v>13548.1665291262</v>
      </c>
      <c r="N64" s="134">
        <f t="shared" si="24"/>
        <v>13548.1665291262</v>
      </c>
      <c r="O64" s="134">
        <f t="shared" si="24"/>
        <v>6618.16652912621</v>
      </c>
      <c r="P64" s="134">
        <f t="shared" si="24"/>
        <v>8343.16652912621</v>
      </c>
      <c r="Q64" s="134">
        <f t="shared" si="24"/>
        <v>13548.1665291262</v>
      </c>
      <c r="R64" s="169">
        <f t="shared" si="24"/>
        <v>13548.1665291262</v>
      </c>
      <c r="S64" s="134"/>
      <c r="T64" s="132"/>
      <c r="U64" s="132"/>
      <c r="V64" s="133"/>
    </row>
    <row r="65" ht="23.25" customHeight="1"/>
  </sheetData>
  <mergeCells count="6">
    <mergeCell ref="A1:P1"/>
    <mergeCell ref="A2:R2"/>
    <mergeCell ref="C3:E3"/>
    <mergeCell ref="F3:V3"/>
    <mergeCell ref="A3:A5"/>
    <mergeCell ref="B3:B5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64"/>
  <sheetViews>
    <sheetView workbookViewId="0">
      <pane xSplit="6" ySplit="5" topLeftCell="G6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3.5"/>
  <cols>
    <col min="1" max="1" width="6.125" style="44" customWidth="1"/>
    <col min="2" max="2" width="44.5" style="45" customWidth="1"/>
    <col min="3" max="3" width="19.875" style="44" customWidth="1"/>
    <col min="4" max="4" width="15" style="44" customWidth="1"/>
    <col min="5" max="5" width="10.5" style="42" customWidth="1"/>
    <col min="6" max="6" width="11.125" style="42" customWidth="1"/>
    <col min="7" max="8" width="10.25" style="44" customWidth="1"/>
    <col min="9" max="19" width="11.625" style="44" customWidth="1"/>
    <col min="20" max="20" width="18.5" style="46" customWidth="1"/>
    <col min="21" max="21" width="13.625" style="46" customWidth="1"/>
    <col min="22" max="22" width="98.375" style="45" customWidth="1"/>
    <col min="23" max="16384" width="9" style="44"/>
  </cols>
  <sheetData>
    <row r="1" ht="25.5" spans="1:16">
      <c r="A1" s="47" t="s">
        <v>0</v>
      </c>
      <c r="B1" s="47"/>
      <c r="C1" s="47"/>
      <c r="D1" s="47"/>
      <c r="E1" s="48"/>
      <c r="F1" s="48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="40" customFormat="1" ht="20.25" spans="1:22">
      <c r="A2" s="49" t="s">
        <v>112</v>
      </c>
      <c r="B2" s="49"/>
      <c r="C2" s="49"/>
      <c r="D2" s="49"/>
      <c r="E2" s="50"/>
      <c r="F2" s="51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84"/>
      <c r="U2" s="84"/>
      <c r="V2" s="85"/>
    </row>
    <row r="3" s="41" customFormat="1" ht="23.25" customHeight="1" spans="1:22">
      <c r="A3" s="6" t="s">
        <v>2</v>
      </c>
      <c r="B3" s="7" t="s">
        <v>3</v>
      </c>
      <c r="C3" s="53" t="s">
        <v>4</v>
      </c>
      <c r="D3" s="54"/>
      <c r="E3" s="55"/>
      <c r="F3" s="56" t="s">
        <v>5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86"/>
    </row>
    <row r="4" s="41" customFormat="1" ht="31.5" customHeight="1" spans="1:22">
      <c r="A4" s="9"/>
      <c r="B4" s="10"/>
      <c r="C4" s="14"/>
      <c r="D4" s="58"/>
      <c r="E4" s="59"/>
      <c r="F4" s="60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87"/>
    </row>
    <row r="5" s="42" customFormat="1" ht="26.25" customHeight="1" spans="1:22">
      <c r="A5" s="12"/>
      <c r="B5" s="13"/>
      <c r="C5" s="62" t="s">
        <v>6</v>
      </c>
      <c r="D5" s="62" t="s">
        <v>113</v>
      </c>
      <c r="E5" s="62" t="s">
        <v>8</v>
      </c>
      <c r="F5" s="63" t="s">
        <v>9</v>
      </c>
      <c r="G5" s="64">
        <v>43101</v>
      </c>
      <c r="H5" s="64">
        <v>43132</v>
      </c>
      <c r="I5" s="64">
        <v>43160</v>
      </c>
      <c r="J5" s="64">
        <v>43191</v>
      </c>
      <c r="K5" s="64">
        <v>43221</v>
      </c>
      <c r="L5" s="64">
        <v>43252</v>
      </c>
      <c r="M5" s="64">
        <v>43282</v>
      </c>
      <c r="N5" s="64">
        <v>43313</v>
      </c>
      <c r="O5" s="64">
        <v>43344</v>
      </c>
      <c r="P5" s="64">
        <v>43374</v>
      </c>
      <c r="Q5" s="64">
        <v>43405</v>
      </c>
      <c r="R5" s="64">
        <v>43435</v>
      </c>
      <c r="S5" s="63" t="s">
        <v>10</v>
      </c>
      <c r="T5" s="63" t="s">
        <v>11</v>
      </c>
      <c r="U5" s="63" t="s">
        <v>12</v>
      </c>
      <c r="V5" s="88" t="s">
        <v>13</v>
      </c>
    </row>
    <row r="6" s="42" customFormat="1" ht="25.5" customHeight="1" spans="1:22">
      <c r="A6" s="65">
        <v>1</v>
      </c>
      <c r="B6" s="66" t="s">
        <v>14</v>
      </c>
      <c r="C6" s="67">
        <f>C7+C8+C9+C10+C11+C12+C13</f>
        <v>1084896.83</v>
      </c>
      <c r="D6" s="67">
        <f t="shared" ref="D6:R6" si="0">D7+D8+D9+D10+D11+D12+D13</f>
        <v>142371.33</v>
      </c>
      <c r="E6" s="67">
        <f>C6+D6</f>
        <v>1227268.16</v>
      </c>
      <c r="F6" s="67">
        <f t="shared" si="0"/>
        <v>1080006.36</v>
      </c>
      <c r="G6" s="67">
        <f t="shared" si="0"/>
        <v>90000.53</v>
      </c>
      <c r="H6" s="67">
        <f t="shared" si="0"/>
        <v>90000.53</v>
      </c>
      <c r="I6" s="67">
        <f t="shared" si="0"/>
        <v>90000.53</v>
      </c>
      <c r="J6" s="67">
        <f t="shared" si="0"/>
        <v>90000.53</v>
      </c>
      <c r="K6" s="67">
        <f t="shared" si="0"/>
        <v>90000.53</v>
      </c>
      <c r="L6" s="67">
        <f t="shared" si="0"/>
        <v>90000.53</v>
      </c>
      <c r="M6" s="67">
        <f t="shared" si="0"/>
        <v>90000.53</v>
      </c>
      <c r="N6" s="67">
        <f t="shared" si="0"/>
        <v>90000.53</v>
      </c>
      <c r="O6" s="67">
        <f t="shared" si="0"/>
        <v>90000.53</v>
      </c>
      <c r="P6" s="67">
        <f t="shared" si="0"/>
        <v>90000.53</v>
      </c>
      <c r="Q6" s="67">
        <f t="shared" si="0"/>
        <v>90000.53</v>
      </c>
      <c r="R6" s="67">
        <f t="shared" si="0"/>
        <v>90000.53</v>
      </c>
      <c r="S6" s="89"/>
      <c r="T6" s="90"/>
      <c r="U6" s="90"/>
      <c r="V6" s="88" t="s">
        <v>15</v>
      </c>
    </row>
    <row r="7" ht="26.25" customHeight="1" spans="1:22">
      <c r="A7" s="18">
        <v>2</v>
      </c>
      <c r="B7" s="19" t="s">
        <v>16</v>
      </c>
      <c r="C7" s="68">
        <v>990005.83</v>
      </c>
      <c r="D7" s="102">
        <v>90000.53</v>
      </c>
      <c r="E7" s="67">
        <f t="shared" ref="E7:E61" si="1">C7+D7</f>
        <v>1080006.36</v>
      </c>
      <c r="F7" s="67">
        <f>SUM(G7:R7)</f>
        <v>1080006.36</v>
      </c>
      <c r="G7" s="102">
        <v>90000.53</v>
      </c>
      <c r="H7" s="102">
        <v>90000.53</v>
      </c>
      <c r="I7" s="102">
        <v>90000.53</v>
      </c>
      <c r="J7" s="102">
        <v>90000.53</v>
      </c>
      <c r="K7" s="102">
        <v>90000.53</v>
      </c>
      <c r="L7" s="102">
        <v>90000.53</v>
      </c>
      <c r="M7" s="102">
        <v>90000.53</v>
      </c>
      <c r="N7" s="102">
        <v>90000.53</v>
      </c>
      <c r="O7" s="102">
        <v>90000.53</v>
      </c>
      <c r="P7" s="102">
        <v>90000.53</v>
      </c>
      <c r="Q7" s="102">
        <v>90000.53</v>
      </c>
      <c r="R7" s="102">
        <v>90000.53</v>
      </c>
      <c r="S7" s="69"/>
      <c r="T7" s="91" t="s">
        <v>17</v>
      </c>
      <c r="U7" s="91" t="s">
        <v>18</v>
      </c>
      <c r="V7" s="92" t="s">
        <v>114</v>
      </c>
    </row>
    <row r="8" ht="26.25" customHeight="1" spans="1:22">
      <c r="A8" s="18">
        <v>3</v>
      </c>
      <c r="B8" s="19" t="s">
        <v>20</v>
      </c>
      <c r="C8" s="68"/>
      <c r="D8" s="102"/>
      <c r="E8" s="67">
        <f t="shared" si="1"/>
        <v>0</v>
      </c>
      <c r="F8" s="67">
        <f t="shared" ref="F8:F64" si="2">SUM(G8:R8)</f>
        <v>0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9"/>
      <c r="T8" s="91" t="s">
        <v>17</v>
      </c>
      <c r="U8" s="91" t="s">
        <v>18</v>
      </c>
      <c r="V8" s="92" t="s">
        <v>115</v>
      </c>
    </row>
    <row r="9" ht="26.25" customHeight="1" spans="1:22">
      <c r="A9" s="18">
        <v>4</v>
      </c>
      <c r="B9" s="19" t="s">
        <v>22</v>
      </c>
      <c r="C9" s="68"/>
      <c r="D9" s="102"/>
      <c r="E9" s="67">
        <f t="shared" si="1"/>
        <v>0</v>
      </c>
      <c r="F9" s="67">
        <f t="shared" si="2"/>
        <v>0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9"/>
      <c r="T9" s="91" t="s">
        <v>17</v>
      </c>
      <c r="U9" s="91" t="s">
        <v>18</v>
      </c>
      <c r="V9" s="92" t="s">
        <v>23</v>
      </c>
    </row>
    <row r="10" ht="30.75" customHeight="1" spans="1:22">
      <c r="A10" s="18">
        <v>5</v>
      </c>
      <c r="B10" s="19" t="s">
        <v>24</v>
      </c>
      <c r="C10" s="68">
        <v>94891</v>
      </c>
      <c r="D10" s="102">
        <v>9770.8</v>
      </c>
      <c r="E10" s="67">
        <f t="shared" si="1"/>
        <v>104661.8</v>
      </c>
      <c r="F10" s="67">
        <f t="shared" si="2"/>
        <v>0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9"/>
      <c r="T10" s="91" t="s">
        <v>17</v>
      </c>
      <c r="U10" s="91" t="s">
        <v>18</v>
      </c>
      <c r="V10" s="92" t="s">
        <v>25</v>
      </c>
    </row>
    <row r="11" ht="30" customHeight="1" spans="1:22">
      <c r="A11" s="18">
        <v>6</v>
      </c>
      <c r="B11" s="19" t="s">
        <v>26</v>
      </c>
      <c r="C11" s="68"/>
      <c r="D11" s="102"/>
      <c r="E11" s="67">
        <f t="shared" si="1"/>
        <v>0</v>
      </c>
      <c r="F11" s="67">
        <f t="shared" si="2"/>
        <v>0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9"/>
      <c r="T11" s="91" t="s">
        <v>17</v>
      </c>
      <c r="U11" s="91" t="s">
        <v>18</v>
      </c>
      <c r="V11" s="92" t="s">
        <v>27</v>
      </c>
    </row>
    <row r="12" ht="23.25" customHeight="1" spans="1:22">
      <c r="A12" s="18">
        <v>7</v>
      </c>
      <c r="B12" s="19" t="s">
        <v>28</v>
      </c>
      <c r="C12" s="68"/>
      <c r="D12" s="102"/>
      <c r="E12" s="67">
        <f t="shared" si="1"/>
        <v>0</v>
      </c>
      <c r="F12" s="67">
        <f t="shared" si="2"/>
        <v>0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9"/>
      <c r="T12" s="91" t="s">
        <v>17</v>
      </c>
      <c r="U12" s="91" t="s">
        <v>18</v>
      </c>
      <c r="V12" s="92" t="s">
        <v>29</v>
      </c>
    </row>
    <row r="13" s="43" customFormat="1" ht="23.25" customHeight="1" spans="1:22">
      <c r="A13" s="18">
        <v>8</v>
      </c>
      <c r="B13" s="19" t="s">
        <v>30</v>
      </c>
      <c r="C13" s="68"/>
      <c r="D13" s="102">
        <v>42600</v>
      </c>
      <c r="E13" s="67">
        <f t="shared" si="1"/>
        <v>42600</v>
      </c>
      <c r="F13" s="67">
        <f t="shared" si="2"/>
        <v>0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9"/>
      <c r="T13" s="91" t="s">
        <v>17</v>
      </c>
      <c r="U13" s="91" t="s">
        <v>18</v>
      </c>
      <c r="V13" s="92" t="s">
        <v>31</v>
      </c>
    </row>
    <row r="14" s="42" customFormat="1" ht="28.5" customHeight="1" spans="1:22">
      <c r="A14" s="65">
        <v>9</v>
      </c>
      <c r="B14" s="66" t="s">
        <v>32</v>
      </c>
      <c r="C14" s="67">
        <f>C15+C16+C17+C18+C19+C20+C21+C22</f>
        <v>755191.47</v>
      </c>
      <c r="D14" s="67">
        <f t="shared" ref="D14:R14" si="3">D15+D16+D17+D18+D19+D20+D21+D22</f>
        <v>66617.32</v>
      </c>
      <c r="E14" s="67">
        <f t="shared" si="3"/>
        <v>821808.79</v>
      </c>
      <c r="F14" s="67">
        <f t="shared" si="2"/>
        <v>766330.58</v>
      </c>
      <c r="G14" s="67">
        <f t="shared" si="3"/>
        <v>55338.28</v>
      </c>
      <c r="H14" s="67">
        <f t="shared" si="3"/>
        <v>60752.3</v>
      </c>
      <c r="I14" s="67">
        <f t="shared" si="3"/>
        <v>68512.5</v>
      </c>
      <c r="J14" s="67">
        <f t="shared" si="3"/>
        <v>61962.5</v>
      </c>
      <c r="K14" s="67">
        <f t="shared" si="3"/>
        <v>61762.5</v>
      </c>
      <c r="L14" s="67">
        <f t="shared" si="3"/>
        <v>69552.5</v>
      </c>
      <c r="M14" s="67">
        <f t="shared" si="3"/>
        <v>68262.5</v>
      </c>
      <c r="N14" s="67">
        <f t="shared" si="3"/>
        <v>60187.5</v>
      </c>
      <c r="O14" s="67">
        <f t="shared" si="3"/>
        <v>71512.5</v>
      </c>
      <c r="P14" s="67">
        <f t="shared" si="3"/>
        <v>61762.5</v>
      </c>
      <c r="Q14" s="67">
        <f t="shared" si="3"/>
        <v>61762.5</v>
      </c>
      <c r="R14" s="67">
        <f t="shared" si="3"/>
        <v>64962.5</v>
      </c>
      <c r="S14" s="89"/>
      <c r="T14" s="90"/>
      <c r="U14" s="90" t="s">
        <v>18</v>
      </c>
      <c r="V14" s="88" t="s">
        <v>33</v>
      </c>
    </row>
    <row r="15" ht="29.25" customHeight="1" spans="1:22">
      <c r="A15" s="18">
        <v>10</v>
      </c>
      <c r="B15" s="19" t="s">
        <v>34</v>
      </c>
      <c r="C15" s="68">
        <v>601350</v>
      </c>
      <c r="D15" s="102">
        <v>57514</v>
      </c>
      <c r="E15" s="67">
        <f t="shared" si="1"/>
        <v>658864</v>
      </c>
      <c r="F15" s="67">
        <f t="shared" si="2"/>
        <v>635570.58</v>
      </c>
      <c r="G15" s="110">
        <v>48735.78</v>
      </c>
      <c r="H15" s="110">
        <v>47109.8</v>
      </c>
      <c r="I15" s="110">
        <v>54160</v>
      </c>
      <c r="J15" s="110">
        <v>54160</v>
      </c>
      <c r="K15" s="110">
        <v>54160</v>
      </c>
      <c r="L15" s="110">
        <v>54160</v>
      </c>
      <c r="M15" s="110">
        <v>54160</v>
      </c>
      <c r="N15" s="110">
        <v>52285</v>
      </c>
      <c r="O15" s="110">
        <v>54160</v>
      </c>
      <c r="P15" s="110">
        <v>54160</v>
      </c>
      <c r="Q15" s="110">
        <v>54160</v>
      </c>
      <c r="R15" s="110">
        <v>54160</v>
      </c>
      <c r="S15" s="69"/>
      <c r="T15" s="93" t="s">
        <v>35</v>
      </c>
      <c r="U15" s="91" t="s">
        <v>18</v>
      </c>
      <c r="V15" s="92" t="s">
        <v>116</v>
      </c>
    </row>
    <row r="16" ht="23.25" customHeight="1" spans="1:22">
      <c r="A16" s="18">
        <v>11</v>
      </c>
      <c r="B16" s="19" t="s">
        <v>117</v>
      </c>
      <c r="C16" s="68">
        <v>5330.07</v>
      </c>
      <c r="D16" s="102"/>
      <c r="E16" s="67">
        <f t="shared" si="1"/>
        <v>5330.07</v>
      </c>
      <c r="F16" s="67">
        <f t="shared" si="2"/>
        <v>11760</v>
      </c>
      <c r="G16" s="110"/>
      <c r="H16" s="110">
        <v>5940</v>
      </c>
      <c r="I16" s="110">
        <v>750</v>
      </c>
      <c r="J16" s="110">
        <v>200</v>
      </c>
      <c r="K16" s="110"/>
      <c r="L16" s="110">
        <v>690</v>
      </c>
      <c r="M16" s="110"/>
      <c r="N16" s="110">
        <v>300</v>
      </c>
      <c r="O16" s="110">
        <v>3680</v>
      </c>
      <c r="P16" s="110"/>
      <c r="Q16" s="110"/>
      <c r="R16" s="110">
        <v>200</v>
      </c>
      <c r="S16" s="69"/>
      <c r="T16" s="93" t="s">
        <v>35</v>
      </c>
      <c r="U16" s="91" t="s">
        <v>18</v>
      </c>
      <c r="V16" s="92" t="s">
        <v>38</v>
      </c>
    </row>
    <row r="17" ht="23.25" customHeight="1" spans="1:22">
      <c r="A17" s="18">
        <v>12</v>
      </c>
      <c r="B17" s="19" t="s">
        <v>39</v>
      </c>
      <c r="C17" s="68">
        <v>13177.5</v>
      </c>
      <c r="D17" s="102"/>
      <c r="E17" s="67">
        <f t="shared" si="1"/>
        <v>13177.5</v>
      </c>
      <c r="F17" s="67">
        <f t="shared" si="2"/>
        <v>9170</v>
      </c>
      <c r="G17" s="111">
        <v>500</v>
      </c>
      <c r="H17" s="111">
        <v>2600</v>
      </c>
      <c r="I17" s="111">
        <v>500</v>
      </c>
      <c r="J17" s="111">
        <v>500</v>
      </c>
      <c r="K17" s="111">
        <v>500</v>
      </c>
      <c r="L17" s="111">
        <v>1000</v>
      </c>
      <c r="M17" s="111">
        <v>1000</v>
      </c>
      <c r="N17" s="111">
        <v>500</v>
      </c>
      <c r="O17" s="111">
        <v>570</v>
      </c>
      <c r="P17" s="111">
        <v>500</v>
      </c>
      <c r="Q17" s="111">
        <v>500</v>
      </c>
      <c r="R17" s="111">
        <v>500</v>
      </c>
      <c r="S17" s="69"/>
      <c r="T17" s="93" t="s">
        <v>40</v>
      </c>
      <c r="U17" s="91" t="s">
        <v>18</v>
      </c>
      <c r="V17" s="92" t="s">
        <v>41</v>
      </c>
    </row>
    <row r="18" ht="23.25" customHeight="1" spans="1:22">
      <c r="A18" s="18">
        <v>13</v>
      </c>
      <c r="B18" s="19" t="s">
        <v>42</v>
      </c>
      <c r="C18" s="68">
        <v>134103.9</v>
      </c>
      <c r="D18" s="102">
        <v>9103.32</v>
      </c>
      <c r="E18" s="67">
        <f t="shared" si="1"/>
        <v>143207.22</v>
      </c>
      <c r="F18" s="67">
        <f t="shared" si="2"/>
        <v>108000</v>
      </c>
      <c r="G18" s="111">
        <v>6000</v>
      </c>
      <c r="H18" s="111">
        <v>5000</v>
      </c>
      <c r="I18" s="111">
        <v>13000</v>
      </c>
      <c r="J18" s="111">
        <v>7000</v>
      </c>
      <c r="K18" s="111">
        <v>7000</v>
      </c>
      <c r="L18" s="111">
        <v>13000</v>
      </c>
      <c r="M18" s="111">
        <v>13000</v>
      </c>
      <c r="N18" s="111">
        <v>7000</v>
      </c>
      <c r="O18" s="111">
        <v>13000</v>
      </c>
      <c r="P18" s="111">
        <v>7000</v>
      </c>
      <c r="Q18" s="111">
        <v>7000</v>
      </c>
      <c r="R18" s="111">
        <v>10000</v>
      </c>
      <c r="S18" s="69"/>
      <c r="T18" s="93" t="s">
        <v>40</v>
      </c>
      <c r="U18" s="91" t="s">
        <v>18</v>
      </c>
      <c r="V18" s="92" t="s">
        <v>43</v>
      </c>
    </row>
    <row r="19" ht="30.75" customHeight="1" spans="1:22">
      <c r="A19" s="18">
        <v>14</v>
      </c>
      <c r="B19" s="19" t="s">
        <v>44</v>
      </c>
      <c r="C19" s="68"/>
      <c r="D19" s="102"/>
      <c r="E19" s="67">
        <f t="shared" si="1"/>
        <v>0</v>
      </c>
      <c r="F19" s="67">
        <f t="shared" si="2"/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0</v>
      </c>
      <c r="S19" s="69"/>
      <c r="T19" s="93" t="s">
        <v>40</v>
      </c>
      <c r="U19" s="91" t="s">
        <v>18</v>
      </c>
      <c r="V19" s="92" t="s">
        <v>45</v>
      </c>
    </row>
    <row r="20" ht="26.25" customHeight="1" spans="1:22">
      <c r="A20" s="18">
        <v>15</v>
      </c>
      <c r="B20" s="19" t="s">
        <v>46</v>
      </c>
      <c r="C20" s="68"/>
      <c r="D20" s="102"/>
      <c r="E20" s="67">
        <f t="shared" si="1"/>
        <v>0</v>
      </c>
      <c r="F20" s="67">
        <f t="shared" si="2"/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69"/>
      <c r="T20" s="93" t="s">
        <v>40</v>
      </c>
      <c r="U20" s="91" t="s">
        <v>18</v>
      </c>
      <c r="V20" s="92" t="s">
        <v>47</v>
      </c>
    </row>
    <row r="21" ht="23.25" customHeight="1" spans="1:22">
      <c r="A21" s="18">
        <v>16</v>
      </c>
      <c r="B21" s="19" t="s">
        <v>118</v>
      </c>
      <c r="C21" s="68"/>
      <c r="D21" s="102"/>
      <c r="E21" s="67">
        <f t="shared" si="1"/>
        <v>0</v>
      </c>
      <c r="F21" s="67">
        <f t="shared" si="2"/>
        <v>600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600</v>
      </c>
      <c r="M21" s="111">
        <v>0</v>
      </c>
      <c r="N21" s="111">
        <v>0</v>
      </c>
      <c r="O21" s="111">
        <v>0</v>
      </c>
      <c r="P21" s="111">
        <v>0</v>
      </c>
      <c r="Q21" s="111"/>
      <c r="R21" s="111">
        <v>0</v>
      </c>
      <c r="S21" s="69"/>
      <c r="T21" s="93" t="s">
        <v>40</v>
      </c>
      <c r="U21" s="91" t="s">
        <v>18</v>
      </c>
      <c r="V21" s="92" t="s">
        <v>49</v>
      </c>
    </row>
    <row r="22" s="43" customFormat="1" ht="23.25" customHeight="1" spans="1:22">
      <c r="A22" s="18">
        <v>17</v>
      </c>
      <c r="B22" s="19" t="s">
        <v>50</v>
      </c>
      <c r="C22" s="68">
        <v>1230</v>
      </c>
      <c r="D22" s="102"/>
      <c r="E22" s="67">
        <f t="shared" si="1"/>
        <v>1230</v>
      </c>
      <c r="F22" s="67">
        <f t="shared" si="2"/>
        <v>1230</v>
      </c>
      <c r="G22" s="111">
        <v>102.5</v>
      </c>
      <c r="H22" s="111">
        <v>102.5</v>
      </c>
      <c r="I22" s="111">
        <v>102.5</v>
      </c>
      <c r="J22" s="111">
        <v>102.5</v>
      </c>
      <c r="K22" s="111">
        <v>102.5</v>
      </c>
      <c r="L22" s="111">
        <v>102.5</v>
      </c>
      <c r="M22" s="111">
        <v>102.5</v>
      </c>
      <c r="N22" s="111">
        <v>102.5</v>
      </c>
      <c r="O22" s="111">
        <v>102.5</v>
      </c>
      <c r="P22" s="111">
        <v>102.5</v>
      </c>
      <c r="Q22" s="111">
        <v>102.5</v>
      </c>
      <c r="R22" s="111">
        <v>102.5</v>
      </c>
      <c r="S22" s="69"/>
      <c r="T22" s="93" t="s">
        <v>40</v>
      </c>
      <c r="U22" s="91" t="s">
        <v>18</v>
      </c>
      <c r="V22" s="92" t="s">
        <v>51</v>
      </c>
    </row>
    <row r="23" s="42" customFormat="1" ht="23.25" customHeight="1" spans="1:22">
      <c r="A23" s="65">
        <v>18</v>
      </c>
      <c r="B23" s="66" t="s">
        <v>52</v>
      </c>
      <c r="C23" s="72">
        <f>C24+C25+C26+C27+C28</f>
        <v>71013</v>
      </c>
      <c r="D23" s="72">
        <f t="shared" ref="D23:R23" si="4">D24+D25+D26+D27+D28</f>
        <v>9590.16</v>
      </c>
      <c r="E23" s="72">
        <f t="shared" si="1"/>
        <v>80603.16</v>
      </c>
      <c r="F23" s="72">
        <f t="shared" si="2"/>
        <v>75600.4452</v>
      </c>
      <c r="G23" s="72">
        <f t="shared" si="4"/>
        <v>6300.0371</v>
      </c>
      <c r="H23" s="72">
        <f t="shared" si="4"/>
        <v>6300.0371</v>
      </c>
      <c r="I23" s="72">
        <f t="shared" si="4"/>
        <v>6300.0371</v>
      </c>
      <c r="J23" s="72">
        <f t="shared" si="4"/>
        <v>6300.0371</v>
      </c>
      <c r="K23" s="72">
        <f t="shared" si="4"/>
        <v>6300.0371</v>
      </c>
      <c r="L23" s="72">
        <f t="shared" si="4"/>
        <v>6300.0371</v>
      </c>
      <c r="M23" s="72">
        <f t="shared" si="4"/>
        <v>6300.0371</v>
      </c>
      <c r="N23" s="72">
        <f t="shared" si="4"/>
        <v>6300.0371</v>
      </c>
      <c r="O23" s="72">
        <f t="shared" si="4"/>
        <v>6300.0371</v>
      </c>
      <c r="P23" s="72">
        <f t="shared" si="4"/>
        <v>6300.0371</v>
      </c>
      <c r="Q23" s="72">
        <f t="shared" si="4"/>
        <v>6300.0371</v>
      </c>
      <c r="R23" s="72">
        <f t="shared" si="4"/>
        <v>6300.0371</v>
      </c>
      <c r="S23" s="89"/>
      <c r="T23" s="90"/>
      <c r="U23" s="90" t="s">
        <v>18</v>
      </c>
      <c r="V23" s="88" t="s">
        <v>53</v>
      </c>
    </row>
    <row r="24" ht="23.25" customHeight="1" spans="1:22">
      <c r="A24" s="18">
        <v>19</v>
      </c>
      <c r="B24" s="19" t="s">
        <v>54</v>
      </c>
      <c r="C24" s="68">
        <v>71013</v>
      </c>
      <c r="D24" s="102">
        <v>9590.16</v>
      </c>
      <c r="E24" s="72">
        <f t="shared" si="1"/>
        <v>80603.16</v>
      </c>
      <c r="F24" s="72">
        <f t="shared" si="2"/>
        <v>75600.4452</v>
      </c>
      <c r="G24" s="32">
        <f>G7*0.07</f>
        <v>6300.0371</v>
      </c>
      <c r="H24" s="32">
        <f t="shared" ref="H24:R24" si="5">H7*0.07</f>
        <v>6300.0371</v>
      </c>
      <c r="I24" s="32">
        <f t="shared" si="5"/>
        <v>6300.0371</v>
      </c>
      <c r="J24" s="32">
        <f t="shared" si="5"/>
        <v>6300.0371</v>
      </c>
      <c r="K24" s="32">
        <f t="shared" si="5"/>
        <v>6300.0371</v>
      </c>
      <c r="L24" s="32">
        <f t="shared" si="5"/>
        <v>6300.0371</v>
      </c>
      <c r="M24" s="32">
        <f t="shared" si="5"/>
        <v>6300.0371</v>
      </c>
      <c r="N24" s="32">
        <f t="shared" si="5"/>
        <v>6300.0371</v>
      </c>
      <c r="O24" s="32">
        <f t="shared" si="5"/>
        <v>6300.0371</v>
      </c>
      <c r="P24" s="32">
        <f t="shared" si="5"/>
        <v>6300.0371</v>
      </c>
      <c r="Q24" s="32">
        <f t="shared" si="5"/>
        <v>6300.0371</v>
      </c>
      <c r="R24" s="32">
        <f t="shared" si="5"/>
        <v>6300.0371</v>
      </c>
      <c r="S24" s="69"/>
      <c r="T24" s="91" t="s">
        <v>17</v>
      </c>
      <c r="U24" s="91" t="s">
        <v>18</v>
      </c>
      <c r="V24" s="92" t="s">
        <v>55</v>
      </c>
    </row>
    <row r="25" ht="23.25" customHeight="1" spans="1:22">
      <c r="A25" s="18">
        <v>20</v>
      </c>
      <c r="B25" s="19" t="s">
        <v>56</v>
      </c>
      <c r="C25" s="68"/>
      <c r="D25" s="102"/>
      <c r="E25" s="72">
        <f t="shared" si="1"/>
        <v>0</v>
      </c>
      <c r="F25" s="72">
        <f t="shared" si="2"/>
        <v>0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69"/>
      <c r="T25" s="91" t="s">
        <v>17</v>
      </c>
      <c r="U25" s="91" t="s">
        <v>18</v>
      </c>
      <c r="V25" s="92" t="s">
        <v>57</v>
      </c>
    </row>
    <row r="26" ht="23.25" customHeight="1" spans="1:22">
      <c r="A26" s="18">
        <v>21</v>
      </c>
      <c r="B26" s="19" t="s">
        <v>58</v>
      </c>
      <c r="C26" s="68"/>
      <c r="D26" s="102"/>
      <c r="E26" s="72">
        <f t="shared" si="1"/>
        <v>0</v>
      </c>
      <c r="F26" s="72">
        <f t="shared" si="2"/>
        <v>0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69"/>
      <c r="T26" s="91" t="s">
        <v>17</v>
      </c>
      <c r="U26" s="91" t="s">
        <v>18</v>
      </c>
      <c r="V26" s="92" t="s">
        <v>57</v>
      </c>
    </row>
    <row r="27" ht="23.25" customHeight="1" spans="1:22">
      <c r="A27" s="18">
        <v>22</v>
      </c>
      <c r="B27" s="19" t="s">
        <v>59</v>
      </c>
      <c r="C27" s="68"/>
      <c r="D27" s="102"/>
      <c r="E27" s="72">
        <f t="shared" si="1"/>
        <v>0</v>
      </c>
      <c r="F27" s="72">
        <f t="shared" si="2"/>
        <v>0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69"/>
      <c r="T27" s="91" t="s">
        <v>17</v>
      </c>
      <c r="U27" s="91" t="s">
        <v>18</v>
      </c>
      <c r="V27" s="92" t="s">
        <v>57</v>
      </c>
    </row>
    <row r="28" s="43" customFormat="1" ht="23.25" customHeight="1" spans="1:22">
      <c r="A28" s="18">
        <v>23</v>
      </c>
      <c r="B28" s="19" t="s">
        <v>60</v>
      </c>
      <c r="C28" s="68"/>
      <c r="D28" s="102"/>
      <c r="E28" s="67">
        <f t="shared" si="1"/>
        <v>0</v>
      </c>
      <c r="F28" s="67">
        <f t="shared" si="2"/>
        <v>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91" t="s">
        <v>17</v>
      </c>
      <c r="U28" s="91" t="s">
        <v>18</v>
      </c>
      <c r="V28" s="92" t="s">
        <v>51</v>
      </c>
    </row>
    <row r="29" s="42" customFormat="1" ht="41.25" customHeight="1" spans="1:22">
      <c r="A29" s="65">
        <v>24</v>
      </c>
      <c r="B29" s="66" t="s">
        <v>61</v>
      </c>
      <c r="C29" s="72">
        <f>C6-C14-C23</f>
        <v>258692.36</v>
      </c>
      <c r="D29" s="72">
        <f t="shared" ref="D29:R29" si="6">D6-D14-D23</f>
        <v>66163.85</v>
      </c>
      <c r="E29" s="72">
        <f t="shared" si="6"/>
        <v>324856.21</v>
      </c>
      <c r="F29" s="72">
        <f t="shared" si="2"/>
        <v>238075.3348</v>
      </c>
      <c r="G29" s="72">
        <f t="shared" si="6"/>
        <v>28362.2129</v>
      </c>
      <c r="H29" s="72">
        <f t="shared" si="6"/>
        <v>22948.1929</v>
      </c>
      <c r="I29" s="72">
        <f t="shared" si="6"/>
        <v>15187.9929</v>
      </c>
      <c r="J29" s="72">
        <f t="shared" si="6"/>
        <v>21737.9929</v>
      </c>
      <c r="K29" s="72">
        <f t="shared" si="6"/>
        <v>21937.9929</v>
      </c>
      <c r="L29" s="72">
        <f t="shared" si="6"/>
        <v>14147.9929</v>
      </c>
      <c r="M29" s="72">
        <f t="shared" si="6"/>
        <v>15437.9929</v>
      </c>
      <c r="N29" s="72">
        <f t="shared" si="6"/>
        <v>23512.9929</v>
      </c>
      <c r="O29" s="72">
        <f t="shared" si="6"/>
        <v>12187.9929</v>
      </c>
      <c r="P29" s="72">
        <f t="shared" si="6"/>
        <v>21937.9929</v>
      </c>
      <c r="Q29" s="72">
        <f t="shared" si="6"/>
        <v>21937.9929</v>
      </c>
      <c r="R29" s="72">
        <f t="shared" si="6"/>
        <v>18737.9929</v>
      </c>
      <c r="S29" s="89"/>
      <c r="T29" s="90"/>
      <c r="U29" s="90" t="s">
        <v>18</v>
      </c>
      <c r="V29" s="88"/>
    </row>
    <row r="30" s="42" customFormat="1" ht="27.75" customHeight="1" spans="1:22">
      <c r="A30" s="65">
        <v>25</v>
      </c>
      <c r="B30" s="66" t="s">
        <v>62</v>
      </c>
      <c r="C30" s="74">
        <f>C31+C32+C33+C34+C35+C38+C41+C47+C48+C49+C50+C51+C52</f>
        <v>202654.15</v>
      </c>
      <c r="D30" s="74">
        <f t="shared" ref="D30:R30" si="7">D31+D32+D33+D34+D35+D38+D41+D47+D48+D49+D50+D51+D52</f>
        <v>15350.82</v>
      </c>
      <c r="E30" s="74">
        <f t="shared" si="7"/>
        <v>218004.97</v>
      </c>
      <c r="F30" s="74">
        <f t="shared" si="7"/>
        <v>135269.42</v>
      </c>
      <c r="G30" s="74">
        <f t="shared" si="7"/>
        <v>9834.61</v>
      </c>
      <c r="H30" s="74">
        <f t="shared" si="7"/>
        <v>12088.61</v>
      </c>
      <c r="I30" s="74">
        <f t="shared" si="7"/>
        <v>14392.22</v>
      </c>
      <c r="J30" s="74">
        <f t="shared" si="7"/>
        <v>10672.22</v>
      </c>
      <c r="K30" s="74">
        <f t="shared" si="7"/>
        <v>10172.22</v>
      </c>
      <c r="L30" s="74">
        <f t="shared" si="7"/>
        <v>10972.22</v>
      </c>
      <c r="M30" s="74">
        <f t="shared" si="7"/>
        <v>11172.22</v>
      </c>
      <c r="N30" s="74">
        <f t="shared" si="7"/>
        <v>13172.22</v>
      </c>
      <c r="O30" s="74">
        <f t="shared" si="7"/>
        <v>10575.22</v>
      </c>
      <c r="P30" s="74">
        <f t="shared" si="7"/>
        <v>10173.22</v>
      </c>
      <c r="Q30" s="74">
        <f t="shared" si="7"/>
        <v>10172.22</v>
      </c>
      <c r="R30" s="74">
        <f t="shared" si="7"/>
        <v>11872.22</v>
      </c>
      <c r="S30" s="89"/>
      <c r="T30" s="90"/>
      <c r="U30" s="90" t="s">
        <v>18</v>
      </c>
      <c r="V30" s="88" t="s">
        <v>63</v>
      </c>
    </row>
    <row r="31" ht="23.25" customHeight="1" spans="1:22">
      <c r="A31" s="18">
        <v>26</v>
      </c>
      <c r="B31" s="19" t="s">
        <v>64</v>
      </c>
      <c r="C31" s="68"/>
      <c r="D31" s="102"/>
      <c r="E31" s="67">
        <f t="shared" si="1"/>
        <v>0</v>
      </c>
      <c r="F31" s="104">
        <f t="shared" si="2"/>
        <v>89850</v>
      </c>
      <c r="G31" s="110">
        <v>8050</v>
      </c>
      <c r="H31" s="110">
        <v>6800</v>
      </c>
      <c r="I31" s="110">
        <v>7500</v>
      </c>
      <c r="J31" s="110">
        <v>7500</v>
      </c>
      <c r="K31" s="110">
        <v>7500</v>
      </c>
      <c r="L31" s="110">
        <v>7500</v>
      </c>
      <c r="M31" s="110">
        <v>7500</v>
      </c>
      <c r="N31" s="110">
        <v>7500</v>
      </c>
      <c r="O31" s="110">
        <v>7500</v>
      </c>
      <c r="P31" s="110">
        <v>7500</v>
      </c>
      <c r="Q31" s="110">
        <v>7500</v>
      </c>
      <c r="R31" s="110">
        <v>7500</v>
      </c>
      <c r="S31" s="69"/>
      <c r="T31" s="93" t="s">
        <v>35</v>
      </c>
      <c r="U31" s="91" t="s">
        <v>18</v>
      </c>
      <c r="V31" s="92" t="s">
        <v>119</v>
      </c>
    </row>
    <row r="32" ht="30.75" customHeight="1" spans="1:22">
      <c r="A32" s="18">
        <v>27</v>
      </c>
      <c r="B32" s="19" t="s">
        <v>66</v>
      </c>
      <c r="C32" s="68">
        <v>10827.43</v>
      </c>
      <c r="D32" s="102">
        <v>981.79</v>
      </c>
      <c r="E32" s="67">
        <f t="shared" si="1"/>
        <v>11809.22</v>
      </c>
      <c r="F32" s="67">
        <f t="shared" si="2"/>
        <v>24939.42</v>
      </c>
      <c r="G32" s="110">
        <v>1133.61</v>
      </c>
      <c r="H32" s="110">
        <v>1133.61</v>
      </c>
      <c r="I32" s="110">
        <v>2267.22</v>
      </c>
      <c r="J32" s="110">
        <v>2267.22</v>
      </c>
      <c r="K32" s="110">
        <v>2267.22</v>
      </c>
      <c r="L32" s="110">
        <v>2267.22</v>
      </c>
      <c r="M32" s="110">
        <v>2267.22</v>
      </c>
      <c r="N32" s="110">
        <v>2267.22</v>
      </c>
      <c r="O32" s="110">
        <v>2267.22</v>
      </c>
      <c r="P32" s="110">
        <v>2267.22</v>
      </c>
      <c r="Q32" s="110">
        <v>2267.22</v>
      </c>
      <c r="R32" s="110">
        <v>2267.22</v>
      </c>
      <c r="S32" s="69"/>
      <c r="T32" s="93" t="s">
        <v>35</v>
      </c>
      <c r="U32" s="91" t="s">
        <v>18</v>
      </c>
      <c r="V32" s="92" t="s">
        <v>67</v>
      </c>
    </row>
    <row r="33" ht="36.75" customHeight="1" spans="1:22">
      <c r="A33" s="18">
        <v>28</v>
      </c>
      <c r="B33" s="19" t="s">
        <v>68</v>
      </c>
      <c r="C33" s="68"/>
      <c r="D33" s="102"/>
      <c r="E33" s="67">
        <f t="shared" si="1"/>
        <v>0</v>
      </c>
      <c r="F33" s="104">
        <f t="shared" si="2"/>
        <v>1100</v>
      </c>
      <c r="G33" s="110">
        <v>0</v>
      </c>
      <c r="H33" s="110">
        <v>600</v>
      </c>
      <c r="I33" s="110"/>
      <c r="J33" s="110">
        <v>0</v>
      </c>
      <c r="K33" s="110">
        <v>0</v>
      </c>
      <c r="L33" s="110">
        <v>100</v>
      </c>
      <c r="M33" s="110">
        <v>0</v>
      </c>
      <c r="N33" s="110">
        <v>0</v>
      </c>
      <c r="O33" s="110">
        <v>400</v>
      </c>
      <c r="P33" s="110"/>
      <c r="Q33" s="110">
        <v>0</v>
      </c>
      <c r="R33" s="110">
        <v>0</v>
      </c>
      <c r="S33" s="69"/>
      <c r="T33" s="93" t="s">
        <v>35</v>
      </c>
      <c r="U33" s="91" t="s">
        <v>18</v>
      </c>
      <c r="V33" s="92" t="s">
        <v>69</v>
      </c>
    </row>
    <row r="34" s="39" customFormat="1" ht="36.75" customHeight="1" spans="1:22">
      <c r="A34" s="18">
        <v>29</v>
      </c>
      <c r="B34" s="19" t="s">
        <v>70</v>
      </c>
      <c r="C34" s="68">
        <v>1278</v>
      </c>
      <c r="D34" s="102"/>
      <c r="E34" s="67">
        <f t="shared" si="1"/>
        <v>1278</v>
      </c>
      <c r="F34" s="67">
        <f t="shared" si="2"/>
        <v>4400</v>
      </c>
      <c r="G34" s="111">
        <v>200</v>
      </c>
      <c r="H34" s="111">
        <v>0</v>
      </c>
      <c r="I34" s="111">
        <v>0</v>
      </c>
      <c r="J34" s="111">
        <v>500</v>
      </c>
      <c r="K34" s="111">
        <v>0</v>
      </c>
      <c r="L34" s="111">
        <v>700</v>
      </c>
      <c r="M34" s="111">
        <v>0</v>
      </c>
      <c r="N34" s="111">
        <v>3000</v>
      </c>
      <c r="O34" s="111">
        <v>0</v>
      </c>
      <c r="P34" s="111">
        <v>0</v>
      </c>
      <c r="Q34" s="111">
        <v>0</v>
      </c>
      <c r="R34" s="111">
        <v>0</v>
      </c>
      <c r="S34" s="69"/>
      <c r="T34" s="93" t="s">
        <v>40</v>
      </c>
      <c r="U34" s="91" t="s">
        <v>18</v>
      </c>
      <c r="V34" s="92" t="s">
        <v>71</v>
      </c>
    </row>
    <row r="35" s="42" customFormat="1" ht="25.5" customHeight="1" spans="1:22">
      <c r="A35" s="65">
        <v>30</v>
      </c>
      <c r="B35" s="66" t="s">
        <v>72</v>
      </c>
      <c r="C35" s="67">
        <f>C36+C37</f>
        <v>11090</v>
      </c>
      <c r="D35" s="67">
        <f t="shared" ref="D35:R35" si="8">D36+D37</f>
        <v>0</v>
      </c>
      <c r="E35" s="67">
        <f t="shared" si="8"/>
        <v>11090</v>
      </c>
      <c r="F35" s="67">
        <f t="shared" si="2"/>
        <v>2600</v>
      </c>
      <c r="G35" s="67">
        <f t="shared" si="8"/>
        <v>0</v>
      </c>
      <c r="H35" s="67">
        <f t="shared" si="8"/>
        <v>2600</v>
      </c>
      <c r="I35" s="67">
        <f t="shared" si="8"/>
        <v>0</v>
      </c>
      <c r="J35" s="67">
        <f t="shared" si="8"/>
        <v>0</v>
      </c>
      <c r="K35" s="67">
        <f t="shared" si="8"/>
        <v>0</v>
      </c>
      <c r="L35" s="67">
        <f t="shared" si="8"/>
        <v>0</v>
      </c>
      <c r="M35" s="67">
        <f t="shared" si="8"/>
        <v>0</v>
      </c>
      <c r="N35" s="67">
        <f t="shared" si="8"/>
        <v>0</v>
      </c>
      <c r="O35" s="67">
        <f t="shared" si="8"/>
        <v>0</v>
      </c>
      <c r="P35" s="67">
        <f t="shared" si="8"/>
        <v>0</v>
      </c>
      <c r="Q35" s="67">
        <f t="shared" si="8"/>
        <v>0</v>
      </c>
      <c r="R35" s="67">
        <f t="shared" si="8"/>
        <v>0</v>
      </c>
      <c r="S35" s="89"/>
      <c r="T35" s="90"/>
      <c r="U35" s="90"/>
      <c r="V35" s="88"/>
    </row>
    <row r="36" s="101" customFormat="1" ht="25.5" customHeight="1" spans="1:22">
      <c r="A36" s="30">
        <v>31</v>
      </c>
      <c r="B36" s="28" t="s">
        <v>74</v>
      </c>
      <c r="C36" s="76"/>
      <c r="D36" s="76"/>
      <c r="E36" s="78">
        <f t="shared" si="1"/>
        <v>0</v>
      </c>
      <c r="F36" s="78">
        <f t="shared" si="2"/>
        <v>2600</v>
      </c>
      <c r="G36" s="111"/>
      <c r="H36" s="111">
        <v>2600</v>
      </c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77"/>
      <c r="T36" s="91" t="s">
        <v>40</v>
      </c>
      <c r="U36" s="91" t="s">
        <v>18</v>
      </c>
      <c r="V36" s="106" t="s">
        <v>73</v>
      </c>
    </row>
    <row r="37" s="101" customFormat="1" ht="25.5" customHeight="1" spans="1:22">
      <c r="A37" s="30">
        <v>32</v>
      </c>
      <c r="B37" s="28" t="s">
        <v>75</v>
      </c>
      <c r="C37" s="108">
        <v>11090</v>
      </c>
      <c r="D37" s="109"/>
      <c r="E37" s="78">
        <f t="shared" si="1"/>
        <v>11090</v>
      </c>
      <c r="F37" s="78">
        <f t="shared" si="2"/>
        <v>0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77"/>
      <c r="T37" s="91"/>
      <c r="U37" s="91" t="s">
        <v>18</v>
      </c>
      <c r="V37" s="106"/>
    </row>
    <row r="38" s="42" customFormat="1" ht="25.5" customHeight="1" spans="1:22">
      <c r="A38" s="65">
        <v>33</v>
      </c>
      <c r="B38" s="66" t="s">
        <v>76</v>
      </c>
      <c r="C38" s="74">
        <f>C39+C40</f>
        <v>2960</v>
      </c>
      <c r="D38" s="74">
        <f t="shared" ref="D38:R38" si="9">D39+D40</f>
        <v>0</v>
      </c>
      <c r="E38" s="74">
        <f t="shared" si="9"/>
        <v>2960</v>
      </c>
      <c r="F38" s="67">
        <f t="shared" si="2"/>
        <v>2960</v>
      </c>
      <c r="G38" s="74">
        <f t="shared" si="9"/>
        <v>243</v>
      </c>
      <c r="H38" s="74">
        <f t="shared" si="9"/>
        <v>247</v>
      </c>
      <c r="I38" s="74">
        <f t="shared" si="9"/>
        <v>247</v>
      </c>
      <c r="J38" s="74">
        <f t="shared" si="9"/>
        <v>247</v>
      </c>
      <c r="K38" s="74">
        <f t="shared" si="9"/>
        <v>247</v>
      </c>
      <c r="L38" s="74">
        <f t="shared" si="9"/>
        <v>247</v>
      </c>
      <c r="M38" s="74">
        <f t="shared" si="9"/>
        <v>247</v>
      </c>
      <c r="N38" s="74">
        <f t="shared" si="9"/>
        <v>247</v>
      </c>
      <c r="O38" s="74">
        <f t="shared" si="9"/>
        <v>247</v>
      </c>
      <c r="P38" s="74">
        <f t="shared" si="9"/>
        <v>247</v>
      </c>
      <c r="Q38" s="74">
        <f t="shared" si="9"/>
        <v>247</v>
      </c>
      <c r="R38" s="74">
        <f t="shared" si="9"/>
        <v>247</v>
      </c>
      <c r="S38" s="89"/>
      <c r="T38" s="90"/>
      <c r="U38" s="90" t="s">
        <v>18</v>
      </c>
      <c r="V38" s="88"/>
    </row>
    <row r="39" s="101" customFormat="1" ht="25.5" customHeight="1" spans="1:22">
      <c r="A39" s="30">
        <v>34</v>
      </c>
      <c r="B39" s="28" t="s">
        <v>77</v>
      </c>
      <c r="C39" s="76"/>
      <c r="D39" s="76"/>
      <c r="E39" s="78">
        <f t="shared" si="1"/>
        <v>0</v>
      </c>
      <c r="F39" s="78">
        <f t="shared" si="2"/>
        <v>0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91"/>
      <c r="U39" s="91" t="s">
        <v>18</v>
      </c>
      <c r="V39" s="106"/>
    </row>
    <row r="40" s="101" customFormat="1" ht="34.5" customHeight="1" spans="1:22">
      <c r="A40" s="30">
        <v>35</v>
      </c>
      <c r="B40" s="28" t="s">
        <v>78</v>
      </c>
      <c r="C40" s="108">
        <v>2960</v>
      </c>
      <c r="D40" s="76"/>
      <c r="E40" s="78">
        <f t="shared" si="1"/>
        <v>2960</v>
      </c>
      <c r="F40" s="78">
        <f t="shared" si="2"/>
        <v>2960</v>
      </c>
      <c r="G40" s="111">
        <v>243</v>
      </c>
      <c r="H40" s="111">
        <v>247</v>
      </c>
      <c r="I40" s="111">
        <v>247</v>
      </c>
      <c r="J40" s="111">
        <v>247</v>
      </c>
      <c r="K40" s="111">
        <v>247</v>
      </c>
      <c r="L40" s="111">
        <v>247</v>
      </c>
      <c r="M40" s="111">
        <v>247</v>
      </c>
      <c r="N40" s="111">
        <v>247</v>
      </c>
      <c r="O40" s="111">
        <v>247</v>
      </c>
      <c r="P40" s="111">
        <v>247</v>
      </c>
      <c r="Q40" s="111">
        <v>247</v>
      </c>
      <c r="R40" s="111">
        <v>247</v>
      </c>
      <c r="S40" s="77"/>
      <c r="T40" s="91"/>
      <c r="U40" s="91" t="s">
        <v>18</v>
      </c>
      <c r="V40" s="106"/>
    </row>
    <row r="41" s="42" customFormat="1" ht="34.5" customHeight="1" spans="1:22">
      <c r="A41" s="65">
        <v>36</v>
      </c>
      <c r="B41" s="66" t="s">
        <v>79</v>
      </c>
      <c r="C41" s="67">
        <f>C42+C43+C44+C45+C46</f>
        <v>42192.02</v>
      </c>
      <c r="D41" s="67">
        <f t="shared" ref="D41:R41" si="10">D42+D43+D44+D45+D46</f>
        <v>2885</v>
      </c>
      <c r="E41" s="67">
        <f t="shared" si="10"/>
        <v>45077.02</v>
      </c>
      <c r="F41" s="67">
        <f t="shared" si="10"/>
        <v>4780</v>
      </c>
      <c r="G41" s="67">
        <f t="shared" si="10"/>
        <v>58</v>
      </c>
      <c r="H41" s="67">
        <f t="shared" si="10"/>
        <v>58</v>
      </c>
      <c r="I41" s="67">
        <f t="shared" si="10"/>
        <v>3438</v>
      </c>
      <c r="J41" s="67">
        <f t="shared" si="10"/>
        <v>58</v>
      </c>
      <c r="K41" s="67">
        <f t="shared" si="10"/>
        <v>58</v>
      </c>
      <c r="L41" s="67">
        <f t="shared" si="10"/>
        <v>58</v>
      </c>
      <c r="M41" s="67">
        <f t="shared" si="10"/>
        <v>58</v>
      </c>
      <c r="N41" s="67">
        <f t="shared" si="10"/>
        <v>58</v>
      </c>
      <c r="O41" s="67">
        <f t="shared" si="10"/>
        <v>61</v>
      </c>
      <c r="P41" s="67">
        <f t="shared" si="10"/>
        <v>59</v>
      </c>
      <c r="Q41" s="67">
        <f t="shared" si="10"/>
        <v>58</v>
      </c>
      <c r="R41" s="67">
        <f t="shared" si="10"/>
        <v>758</v>
      </c>
      <c r="S41" s="89"/>
      <c r="T41" s="90"/>
      <c r="U41" s="90" t="s">
        <v>18</v>
      </c>
      <c r="V41" s="88" t="s">
        <v>80</v>
      </c>
    </row>
    <row r="42" s="101" customFormat="1" ht="34.5" customHeight="1" spans="1:22">
      <c r="A42" s="30">
        <v>37</v>
      </c>
      <c r="B42" s="28" t="s">
        <v>81</v>
      </c>
      <c r="C42" s="68">
        <v>4355.9</v>
      </c>
      <c r="D42" s="102">
        <v>2885</v>
      </c>
      <c r="E42" s="67">
        <f t="shared" si="1"/>
        <v>7240.9</v>
      </c>
      <c r="F42" s="67">
        <f t="shared" si="2"/>
        <v>3580</v>
      </c>
      <c r="G42" s="111">
        <v>58</v>
      </c>
      <c r="H42" s="111">
        <v>58</v>
      </c>
      <c r="I42" s="111">
        <v>2938</v>
      </c>
      <c r="J42" s="111">
        <v>58</v>
      </c>
      <c r="K42" s="111">
        <v>58</v>
      </c>
      <c r="L42" s="111">
        <v>58</v>
      </c>
      <c r="M42" s="111">
        <v>58</v>
      </c>
      <c r="N42" s="111">
        <v>58</v>
      </c>
      <c r="O42" s="111">
        <v>61</v>
      </c>
      <c r="P42" s="111">
        <v>59</v>
      </c>
      <c r="Q42" s="111">
        <v>58</v>
      </c>
      <c r="R42" s="111">
        <v>58</v>
      </c>
      <c r="S42" s="68"/>
      <c r="T42" s="91" t="s">
        <v>40</v>
      </c>
      <c r="U42" s="91" t="s">
        <v>18</v>
      </c>
      <c r="V42" s="106"/>
    </row>
    <row r="43" s="101" customFormat="1" ht="34.5" customHeight="1" spans="1:22">
      <c r="A43" s="30">
        <v>38</v>
      </c>
      <c r="B43" s="28" t="s">
        <v>82</v>
      </c>
      <c r="C43" s="68"/>
      <c r="D43" s="102"/>
      <c r="E43" s="67">
        <f t="shared" si="1"/>
        <v>0</v>
      </c>
      <c r="F43" s="67">
        <f t="shared" si="2"/>
        <v>1200</v>
      </c>
      <c r="G43" s="111">
        <v>0</v>
      </c>
      <c r="H43" s="111">
        <v>0</v>
      </c>
      <c r="I43" s="111">
        <v>500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700</v>
      </c>
      <c r="S43" s="68"/>
      <c r="T43" s="91" t="s">
        <v>40</v>
      </c>
      <c r="U43" s="91" t="s">
        <v>18</v>
      </c>
      <c r="V43" s="106"/>
    </row>
    <row r="44" s="101" customFormat="1" ht="34.5" customHeight="1" spans="1:22">
      <c r="A44" s="30">
        <v>39</v>
      </c>
      <c r="B44" s="28" t="s">
        <v>83</v>
      </c>
      <c r="C44" s="68"/>
      <c r="D44" s="102"/>
      <c r="E44" s="67">
        <f t="shared" si="1"/>
        <v>0</v>
      </c>
      <c r="F44" s="67">
        <f t="shared" si="2"/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68"/>
      <c r="T44" s="91" t="s">
        <v>40</v>
      </c>
      <c r="U44" s="91" t="s">
        <v>18</v>
      </c>
      <c r="V44" s="106"/>
    </row>
    <row r="45" s="101" customFormat="1" ht="34.5" customHeight="1" spans="1:22">
      <c r="A45" s="30">
        <v>40</v>
      </c>
      <c r="B45" s="28" t="s">
        <v>84</v>
      </c>
      <c r="C45" s="68"/>
      <c r="D45" s="102"/>
      <c r="E45" s="67">
        <f t="shared" si="1"/>
        <v>0</v>
      </c>
      <c r="F45" s="67">
        <f t="shared" si="2"/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68"/>
      <c r="T45" s="91" t="s">
        <v>40</v>
      </c>
      <c r="U45" s="91" t="s">
        <v>18</v>
      </c>
      <c r="V45" s="106"/>
    </row>
    <row r="46" s="101" customFormat="1" ht="24.75" customHeight="1" spans="1:22">
      <c r="A46" s="30">
        <v>41</v>
      </c>
      <c r="B46" s="28" t="s">
        <v>85</v>
      </c>
      <c r="C46" s="68">
        <v>37836.12</v>
      </c>
      <c r="D46" s="102"/>
      <c r="E46" s="67">
        <f t="shared" si="1"/>
        <v>37836.12</v>
      </c>
      <c r="F46" s="67">
        <f t="shared" si="2"/>
        <v>0</v>
      </c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68"/>
      <c r="T46" s="91" t="s">
        <v>35</v>
      </c>
      <c r="U46" s="91" t="s">
        <v>18</v>
      </c>
      <c r="V46" s="106"/>
    </row>
    <row r="47" ht="20.25" customHeight="1" spans="1:22">
      <c r="A47" s="18">
        <v>42</v>
      </c>
      <c r="B47" s="19" t="s">
        <v>86</v>
      </c>
      <c r="C47" s="68">
        <v>1444</v>
      </c>
      <c r="D47" s="102">
        <v>177</v>
      </c>
      <c r="E47" s="67">
        <f t="shared" si="1"/>
        <v>1621</v>
      </c>
      <c r="F47" s="67">
        <f t="shared" si="2"/>
        <v>600</v>
      </c>
      <c r="G47" s="111">
        <v>50</v>
      </c>
      <c r="H47" s="111">
        <v>50</v>
      </c>
      <c r="I47" s="111">
        <v>50</v>
      </c>
      <c r="J47" s="111">
        <v>50</v>
      </c>
      <c r="K47" s="111">
        <v>50</v>
      </c>
      <c r="L47" s="111">
        <v>50</v>
      </c>
      <c r="M47" s="111">
        <v>50</v>
      </c>
      <c r="N47" s="111">
        <v>50</v>
      </c>
      <c r="O47" s="111">
        <v>50</v>
      </c>
      <c r="P47" s="111">
        <v>50</v>
      </c>
      <c r="Q47" s="111">
        <v>50</v>
      </c>
      <c r="R47" s="111">
        <v>50</v>
      </c>
      <c r="S47" s="68"/>
      <c r="T47" s="93" t="s">
        <v>40</v>
      </c>
      <c r="U47" s="91" t="s">
        <v>18</v>
      </c>
      <c r="V47" s="92" t="s">
        <v>80</v>
      </c>
    </row>
    <row r="48" ht="24" customHeight="1" spans="1:22">
      <c r="A48" s="18">
        <v>43</v>
      </c>
      <c r="B48" s="19" t="s">
        <v>87</v>
      </c>
      <c r="C48" s="68">
        <v>1467.7</v>
      </c>
      <c r="D48" s="102"/>
      <c r="E48" s="67">
        <f t="shared" si="1"/>
        <v>1467.7</v>
      </c>
      <c r="F48" s="67">
        <f t="shared" si="2"/>
        <v>600</v>
      </c>
      <c r="G48" s="111">
        <v>100</v>
      </c>
      <c r="H48" s="111"/>
      <c r="I48" s="111">
        <v>50</v>
      </c>
      <c r="J48" s="111">
        <v>50</v>
      </c>
      <c r="K48" s="111">
        <v>50</v>
      </c>
      <c r="L48" s="111">
        <v>50</v>
      </c>
      <c r="M48" s="111">
        <v>50</v>
      </c>
      <c r="N48" s="111">
        <v>50</v>
      </c>
      <c r="O48" s="111">
        <v>50</v>
      </c>
      <c r="P48" s="111">
        <v>50</v>
      </c>
      <c r="Q48" s="111">
        <v>50</v>
      </c>
      <c r="R48" s="111">
        <v>50</v>
      </c>
      <c r="S48" s="68"/>
      <c r="T48" s="93" t="s">
        <v>40</v>
      </c>
      <c r="U48" s="91" t="s">
        <v>18</v>
      </c>
      <c r="V48" s="92" t="s">
        <v>80</v>
      </c>
    </row>
    <row r="49" ht="23.25" customHeight="1" spans="1:22">
      <c r="A49" s="18">
        <v>44</v>
      </c>
      <c r="B49" s="19" t="s">
        <v>88</v>
      </c>
      <c r="C49" s="68">
        <v>890</v>
      </c>
      <c r="D49" s="102">
        <v>500</v>
      </c>
      <c r="E49" s="67">
        <f t="shared" si="1"/>
        <v>1390</v>
      </c>
      <c r="F49" s="67">
        <f t="shared" si="2"/>
        <v>2000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1000</v>
      </c>
      <c r="N49" s="111">
        <v>0</v>
      </c>
      <c r="O49" s="111">
        <v>0</v>
      </c>
      <c r="P49" s="111">
        <v>0</v>
      </c>
      <c r="Q49" s="111">
        <v>0</v>
      </c>
      <c r="R49" s="111">
        <v>1000</v>
      </c>
      <c r="S49" s="68"/>
      <c r="T49" s="93" t="s">
        <v>40</v>
      </c>
      <c r="U49" s="91" t="s">
        <v>18</v>
      </c>
      <c r="V49" s="92" t="s">
        <v>80</v>
      </c>
    </row>
    <row r="50" ht="23.25" customHeight="1" spans="1:22">
      <c r="A50" s="18">
        <v>45</v>
      </c>
      <c r="B50" s="19" t="s">
        <v>89</v>
      </c>
      <c r="C50" s="68"/>
      <c r="D50" s="102"/>
      <c r="E50" s="67">
        <f t="shared" si="1"/>
        <v>0</v>
      </c>
      <c r="F50" s="67">
        <f t="shared" si="2"/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68"/>
      <c r="T50" s="93" t="s">
        <v>40</v>
      </c>
      <c r="U50" s="91" t="s">
        <v>18</v>
      </c>
      <c r="V50" s="92" t="s">
        <v>80</v>
      </c>
    </row>
    <row r="51" ht="23.25" customHeight="1" spans="1:22">
      <c r="A51" s="18">
        <v>46</v>
      </c>
      <c r="B51" s="19" t="s">
        <v>90</v>
      </c>
      <c r="C51" s="68">
        <v>1651.9</v>
      </c>
      <c r="D51" s="102">
        <v>0</v>
      </c>
      <c r="E51" s="67">
        <f t="shared" si="1"/>
        <v>1651.9</v>
      </c>
      <c r="F51" s="67">
        <f t="shared" si="2"/>
        <v>1440</v>
      </c>
      <c r="G51" s="111">
        <v>0</v>
      </c>
      <c r="H51" s="111">
        <v>600</v>
      </c>
      <c r="I51" s="111">
        <v>840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69"/>
      <c r="T51" s="93" t="s">
        <v>91</v>
      </c>
      <c r="U51" s="91" t="s">
        <v>18</v>
      </c>
      <c r="V51" s="92" t="s">
        <v>92</v>
      </c>
    </row>
    <row r="52" s="43" customFormat="1" ht="23.25" customHeight="1" spans="1:22">
      <c r="A52" s="18">
        <v>47</v>
      </c>
      <c r="B52" s="19" t="s">
        <v>93</v>
      </c>
      <c r="C52" s="68">
        <v>128853.1</v>
      </c>
      <c r="D52" s="102">
        <v>10807.03</v>
      </c>
      <c r="E52" s="67">
        <f t="shared" si="1"/>
        <v>139660.13</v>
      </c>
      <c r="F52" s="67">
        <f t="shared" si="2"/>
        <v>0</v>
      </c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9"/>
      <c r="T52" s="93"/>
      <c r="U52" s="91" t="s">
        <v>18</v>
      </c>
      <c r="V52" s="92" t="s">
        <v>51</v>
      </c>
    </row>
    <row r="53" s="42" customFormat="1" ht="23.25" customHeight="1" spans="1:22">
      <c r="A53" s="65">
        <v>48</v>
      </c>
      <c r="B53" s="66" t="s">
        <v>94</v>
      </c>
      <c r="C53" s="67">
        <f>C54+C55+C56</f>
        <v>30</v>
      </c>
      <c r="D53" s="67">
        <f t="shared" ref="D53:R53" si="11">D54+D55+D56</f>
        <v>15</v>
      </c>
      <c r="E53" s="67">
        <f t="shared" si="11"/>
        <v>45</v>
      </c>
      <c r="F53" s="67">
        <f t="shared" si="2"/>
        <v>0</v>
      </c>
      <c r="G53" s="67">
        <f t="shared" si="11"/>
        <v>0</v>
      </c>
      <c r="H53" s="67">
        <f t="shared" si="11"/>
        <v>0</v>
      </c>
      <c r="I53" s="67">
        <f t="shared" si="11"/>
        <v>0</v>
      </c>
      <c r="J53" s="67">
        <f t="shared" si="11"/>
        <v>0</v>
      </c>
      <c r="K53" s="67">
        <f t="shared" si="11"/>
        <v>0</v>
      </c>
      <c r="L53" s="67">
        <f t="shared" si="11"/>
        <v>0</v>
      </c>
      <c r="M53" s="67">
        <f t="shared" si="11"/>
        <v>0</v>
      </c>
      <c r="N53" s="67">
        <f t="shared" si="11"/>
        <v>0</v>
      </c>
      <c r="O53" s="67">
        <f t="shared" si="11"/>
        <v>0</v>
      </c>
      <c r="P53" s="67">
        <f t="shared" si="11"/>
        <v>0</v>
      </c>
      <c r="Q53" s="67">
        <f t="shared" si="11"/>
        <v>0</v>
      </c>
      <c r="R53" s="67">
        <f t="shared" si="11"/>
        <v>0</v>
      </c>
      <c r="S53" s="89"/>
      <c r="T53" s="90"/>
      <c r="U53" s="90" t="s">
        <v>18</v>
      </c>
      <c r="V53" s="88" t="s">
        <v>95</v>
      </c>
    </row>
    <row r="54" ht="23.25" customHeight="1" spans="1:22">
      <c r="A54" s="18">
        <v>49</v>
      </c>
      <c r="B54" s="19" t="s">
        <v>96</v>
      </c>
      <c r="C54" s="68"/>
      <c r="D54" s="102"/>
      <c r="E54" s="67">
        <f t="shared" si="1"/>
        <v>0</v>
      </c>
      <c r="F54" s="67">
        <f t="shared" si="2"/>
        <v>0</v>
      </c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91" t="s">
        <v>17</v>
      </c>
      <c r="U54" s="91" t="s">
        <v>18</v>
      </c>
      <c r="V54" s="92" t="s">
        <v>51</v>
      </c>
    </row>
    <row r="55" ht="23.25" customHeight="1" spans="1:22">
      <c r="A55" s="18">
        <v>50</v>
      </c>
      <c r="B55" s="19" t="s">
        <v>97</v>
      </c>
      <c r="C55" s="68">
        <v>30</v>
      </c>
      <c r="D55" s="102">
        <v>15</v>
      </c>
      <c r="E55" s="67">
        <f t="shared" si="1"/>
        <v>45</v>
      </c>
      <c r="F55" s="67">
        <f t="shared" si="2"/>
        <v>0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91" t="s">
        <v>17</v>
      </c>
      <c r="U55" s="91" t="s">
        <v>18</v>
      </c>
      <c r="V55" s="92" t="s">
        <v>51</v>
      </c>
    </row>
    <row r="56" s="43" customFormat="1" ht="23.25" customHeight="1" spans="1:22">
      <c r="A56" s="18">
        <v>51</v>
      </c>
      <c r="B56" s="19" t="s">
        <v>98</v>
      </c>
      <c r="C56" s="68"/>
      <c r="D56" s="102"/>
      <c r="E56" s="67">
        <f t="shared" si="1"/>
        <v>0</v>
      </c>
      <c r="F56" s="67">
        <f t="shared" si="2"/>
        <v>0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97"/>
      <c r="T56" s="91" t="s">
        <v>17</v>
      </c>
      <c r="U56" s="91" t="s">
        <v>18</v>
      </c>
      <c r="V56" s="92" t="s">
        <v>51</v>
      </c>
    </row>
    <row r="57" s="42" customFormat="1" ht="23.25" customHeight="1" spans="1:22">
      <c r="A57" s="65">
        <v>52</v>
      </c>
      <c r="B57" s="66" t="s">
        <v>99</v>
      </c>
      <c r="C57" s="72">
        <f>C29-C30-C53</f>
        <v>56008.2100000001</v>
      </c>
      <c r="D57" s="72">
        <f t="shared" ref="D57:R57" si="12">D29-D30-D53</f>
        <v>50798.03</v>
      </c>
      <c r="E57" s="72">
        <f t="shared" si="12"/>
        <v>106806.24</v>
      </c>
      <c r="F57" s="72">
        <f t="shared" si="12"/>
        <v>102805.9148</v>
      </c>
      <c r="G57" s="72">
        <f t="shared" si="12"/>
        <v>18527.6029</v>
      </c>
      <c r="H57" s="72">
        <f t="shared" si="12"/>
        <v>10859.5829</v>
      </c>
      <c r="I57" s="72">
        <f t="shared" si="12"/>
        <v>795.772899999998</v>
      </c>
      <c r="J57" s="72">
        <f t="shared" si="12"/>
        <v>11065.7729</v>
      </c>
      <c r="K57" s="72">
        <f t="shared" si="12"/>
        <v>11765.7729</v>
      </c>
      <c r="L57" s="72">
        <f t="shared" si="12"/>
        <v>3175.7729</v>
      </c>
      <c r="M57" s="72">
        <f t="shared" si="12"/>
        <v>4265.7729</v>
      </c>
      <c r="N57" s="72">
        <f t="shared" si="12"/>
        <v>10340.7729</v>
      </c>
      <c r="O57" s="72">
        <f t="shared" si="12"/>
        <v>1612.7729</v>
      </c>
      <c r="P57" s="72">
        <f t="shared" si="12"/>
        <v>11764.7729</v>
      </c>
      <c r="Q57" s="72">
        <f t="shared" si="12"/>
        <v>11765.7729</v>
      </c>
      <c r="R57" s="72">
        <f t="shared" si="12"/>
        <v>6865.7729</v>
      </c>
      <c r="S57" s="89"/>
      <c r="T57" s="90"/>
      <c r="U57" s="90" t="s">
        <v>18</v>
      </c>
      <c r="V57" s="88"/>
    </row>
    <row r="58" s="43" customFormat="1" ht="23.25" customHeight="1" spans="1:22">
      <c r="A58" s="18">
        <v>53</v>
      </c>
      <c r="B58" s="16" t="s">
        <v>100</v>
      </c>
      <c r="C58" s="80"/>
      <c r="D58" s="80"/>
      <c r="E58" s="67">
        <f t="shared" si="1"/>
        <v>0</v>
      </c>
      <c r="F58" s="67">
        <f t="shared" si="2"/>
        <v>0</v>
      </c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98"/>
      <c r="S58" s="81"/>
      <c r="T58" s="99"/>
      <c r="U58" s="99" t="s">
        <v>18</v>
      </c>
      <c r="V58" s="100" t="s">
        <v>51</v>
      </c>
    </row>
    <row r="59" s="43" customFormat="1" ht="23.25" customHeight="1" spans="1:22">
      <c r="A59" s="18">
        <v>54</v>
      </c>
      <c r="B59" s="16" t="s">
        <v>101</v>
      </c>
      <c r="C59" s="80"/>
      <c r="D59" s="80"/>
      <c r="E59" s="67">
        <f t="shared" si="1"/>
        <v>0</v>
      </c>
      <c r="F59" s="67">
        <f t="shared" si="2"/>
        <v>0</v>
      </c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98"/>
      <c r="S59" s="81"/>
      <c r="T59" s="99"/>
      <c r="U59" s="99" t="s">
        <v>18</v>
      </c>
      <c r="V59" s="100" t="s">
        <v>51</v>
      </c>
    </row>
    <row r="60" s="43" customFormat="1" ht="23.25" customHeight="1" spans="1:22">
      <c r="A60" s="18">
        <v>55</v>
      </c>
      <c r="B60" s="16" t="s">
        <v>102</v>
      </c>
      <c r="C60" s="80"/>
      <c r="D60" s="80"/>
      <c r="E60" s="67">
        <f t="shared" si="1"/>
        <v>0</v>
      </c>
      <c r="F60" s="67">
        <f t="shared" si="2"/>
        <v>0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98"/>
      <c r="S60" s="81"/>
      <c r="T60" s="99"/>
      <c r="U60" s="99" t="s">
        <v>18</v>
      </c>
      <c r="V60" s="100" t="s">
        <v>51</v>
      </c>
    </row>
    <row r="61" s="43" customFormat="1" ht="23.25" customHeight="1" spans="1:22">
      <c r="A61" s="18">
        <v>56</v>
      </c>
      <c r="B61" s="16" t="s">
        <v>103</v>
      </c>
      <c r="C61" s="80"/>
      <c r="D61" s="80"/>
      <c r="E61" s="67">
        <f t="shared" si="1"/>
        <v>0</v>
      </c>
      <c r="F61" s="67">
        <f t="shared" si="2"/>
        <v>8400</v>
      </c>
      <c r="G61" s="112">
        <v>1450</v>
      </c>
      <c r="H61" s="112">
        <v>1450</v>
      </c>
      <c r="I61" s="112">
        <v>1450</v>
      </c>
      <c r="J61" s="112">
        <v>450</v>
      </c>
      <c r="K61" s="112">
        <v>450</v>
      </c>
      <c r="L61" s="112">
        <v>450</v>
      </c>
      <c r="M61" s="112">
        <v>450</v>
      </c>
      <c r="N61" s="112">
        <v>450</v>
      </c>
      <c r="O61" s="112">
        <v>450</v>
      </c>
      <c r="P61" s="112">
        <v>450</v>
      </c>
      <c r="Q61" s="112">
        <v>450</v>
      </c>
      <c r="R61" s="112">
        <v>450</v>
      </c>
      <c r="S61" s="81"/>
      <c r="T61" s="99"/>
      <c r="U61" s="99" t="s">
        <v>18</v>
      </c>
      <c r="V61" s="100" t="s">
        <v>51</v>
      </c>
    </row>
    <row r="62" s="42" customFormat="1" ht="23.25" customHeight="1" spans="1:22">
      <c r="A62" s="65">
        <v>57</v>
      </c>
      <c r="B62" s="66" t="s">
        <v>104</v>
      </c>
      <c r="C62" s="72">
        <f>C57+C58-C59+C60-C61</f>
        <v>56008.2100000001</v>
      </c>
      <c r="D62" s="72">
        <f t="shared" ref="D62:R62" si="13">D57+D58-D59+D60-D61</f>
        <v>50798.03</v>
      </c>
      <c r="E62" s="72">
        <f t="shared" si="13"/>
        <v>106806.24</v>
      </c>
      <c r="F62" s="72">
        <f t="shared" si="2"/>
        <v>94405.9148</v>
      </c>
      <c r="G62" s="72">
        <f t="shared" si="13"/>
        <v>17077.6029</v>
      </c>
      <c r="H62" s="72">
        <f t="shared" si="13"/>
        <v>9409.58289999999</v>
      </c>
      <c r="I62" s="72">
        <f t="shared" si="13"/>
        <v>-654.227100000002</v>
      </c>
      <c r="J62" s="72">
        <f t="shared" si="13"/>
        <v>10615.7729</v>
      </c>
      <c r="K62" s="72">
        <f t="shared" si="13"/>
        <v>11315.7729</v>
      </c>
      <c r="L62" s="72">
        <f t="shared" si="13"/>
        <v>2725.7729</v>
      </c>
      <c r="M62" s="72">
        <f t="shared" si="13"/>
        <v>3815.7729</v>
      </c>
      <c r="N62" s="72">
        <f t="shared" si="13"/>
        <v>9890.7729</v>
      </c>
      <c r="O62" s="72">
        <f t="shared" si="13"/>
        <v>1162.7729</v>
      </c>
      <c r="P62" s="72">
        <f t="shared" si="13"/>
        <v>11314.7729</v>
      </c>
      <c r="Q62" s="72">
        <f t="shared" si="13"/>
        <v>11315.7729</v>
      </c>
      <c r="R62" s="72">
        <f t="shared" si="13"/>
        <v>6415.7729</v>
      </c>
      <c r="S62" s="89"/>
      <c r="T62" s="90"/>
      <c r="U62" s="90"/>
      <c r="V62" s="88"/>
    </row>
    <row r="63" s="42" customFormat="1" ht="23.25" customHeight="1" spans="1:22">
      <c r="A63" s="65">
        <v>58</v>
      </c>
      <c r="B63" s="82" t="s">
        <v>105</v>
      </c>
      <c r="C63" s="72">
        <f>C62*0.25</f>
        <v>14002.0525</v>
      </c>
      <c r="D63" s="72">
        <f t="shared" ref="D63:R63" si="14">D62*0.25</f>
        <v>12699.5075</v>
      </c>
      <c r="E63" s="72">
        <f t="shared" si="14"/>
        <v>26701.56</v>
      </c>
      <c r="F63" s="72">
        <f t="shared" si="2"/>
        <v>23601.4787</v>
      </c>
      <c r="G63" s="72">
        <f t="shared" si="14"/>
        <v>4269.400725</v>
      </c>
      <c r="H63" s="72">
        <f t="shared" si="14"/>
        <v>2352.395725</v>
      </c>
      <c r="I63" s="72">
        <f t="shared" si="14"/>
        <v>-163.556775</v>
      </c>
      <c r="J63" s="72">
        <f t="shared" si="14"/>
        <v>2653.943225</v>
      </c>
      <c r="K63" s="72">
        <f t="shared" si="14"/>
        <v>2828.943225</v>
      </c>
      <c r="L63" s="72">
        <f t="shared" si="14"/>
        <v>681.443225</v>
      </c>
      <c r="M63" s="72">
        <f t="shared" si="14"/>
        <v>953.943225</v>
      </c>
      <c r="N63" s="72">
        <f t="shared" si="14"/>
        <v>2472.693225</v>
      </c>
      <c r="O63" s="72">
        <f t="shared" si="14"/>
        <v>290.693225</v>
      </c>
      <c r="P63" s="72">
        <f t="shared" si="14"/>
        <v>2828.693225</v>
      </c>
      <c r="Q63" s="72">
        <f t="shared" si="14"/>
        <v>2828.943225</v>
      </c>
      <c r="R63" s="72">
        <f t="shared" si="14"/>
        <v>1603.943225</v>
      </c>
      <c r="S63" s="89"/>
      <c r="T63" s="90"/>
      <c r="U63" s="90"/>
      <c r="V63" s="88"/>
    </row>
    <row r="64" s="42" customFormat="1" ht="23.25" customHeight="1" spans="1:22">
      <c r="A64" s="65">
        <v>59</v>
      </c>
      <c r="B64" s="66" t="s">
        <v>106</v>
      </c>
      <c r="C64" s="72">
        <f>C62-C63</f>
        <v>42006.1575000001</v>
      </c>
      <c r="D64" s="72">
        <f t="shared" ref="D64:R64" si="15">D62-D63</f>
        <v>38098.5225</v>
      </c>
      <c r="E64" s="72">
        <f t="shared" si="15"/>
        <v>80104.6800000001</v>
      </c>
      <c r="F64" s="72">
        <f t="shared" si="2"/>
        <v>70804.4361</v>
      </c>
      <c r="G64" s="72">
        <f t="shared" si="15"/>
        <v>12808.202175</v>
      </c>
      <c r="H64" s="72">
        <f t="shared" si="15"/>
        <v>7057.187175</v>
      </c>
      <c r="I64" s="72">
        <f t="shared" si="15"/>
        <v>-490.670325000001</v>
      </c>
      <c r="J64" s="72">
        <f t="shared" si="15"/>
        <v>7961.829675</v>
      </c>
      <c r="K64" s="72">
        <f t="shared" si="15"/>
        <v>8486.829675</v>
      </c>
      <c r="L64" s="72">
        <f t="shared" si="15"/>
        <v>2044.329675</v>
      </c>
      <c r="M64" s="72">
        <f t="shared" si="15"/>
        <v>2861.829675</v>
      </c>
      <c r="N64" s="72">
        <f t="shared" si="15"/>
        <v>7418.079675</v>
      </c>
      <c r="O64" s="72">
        <f t="shared" si="15"/>
        <v>872.079674999999</v>
      </c>
      <c r="P64" s="72">
        <f t="shared" si="15"/>
        <v>8486.079675</v>
      </c>
      <c r="Q64" s="72">
        <f t="shared" si="15"/>
        <v>8486.829675</v>
      </c>
      <c r="R64" s="72">
        <f t="shared" si="15"/>
        <v>4811.829675</v>
      </c>
      <c r="S64" s="89"/>
      <c r="T64" s="90"/>
      <c r="U64" s="90"/>
      <c r="V64" s="88"/>
    </row>
  </sheetData>
  <mergeCells count="6">
    <mergeCell ref="A1:P1"/>
    <mergeCell ref="A2:R2"/>
    <mergeCell ref="A3:A5"/>
    <mergeCell ref="B3:B5"/>
    <mergeCell ref="C3:E4"/>
    <mergeCell ref="F3:V4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V64"/>
  <sheetViews>
    <sheetView topLeftCell="A52" workbookViewId="0">
      <selection activeCell="C79" sqref="C79"/>
    </sheetView>
  </sheetViews>
  <sheetFormatPr defaultColWidth="9" defaultRowHeight="13.5"/>
  <cols>
    <col min="1" max="1" width="6.125" style="44" customWidth="1"/>
    <col min="2" max="2" width="34.875" style="45" customWidth="1"/>
    <col min="3" max="3" width="14.125" style="44" customWidth="1"/>
    <col min="4" max="4" width="15" style="44" customWidth="1"/>
    <col min="5" max="5" width="10.5" style="42" customWidth="1"/>
    <col min="6" max="6" width="11.125" style="42" customWidth="1"/>
    <col min="7" max="8" width="10.25" style="44" customWidth="1"/>
    <col min="9" max="19" width="11.625" style="44" customWidth="1"/>
    <col min="20" max="20" width="18.5" style="46" customWidth="1"/>
    <col min="21" max="21" width="13.625" style="46" customWidth="1"/>
    <col min="22" max="22" width="98.375" style="45" customWidth="1"/>
    <col min="23" max="16384" width="9" style="44"/>
  </cols>
  <sheetData>
    <row r="1" ht="25.5" spans="1:16">
      <c r="A1" s="47" t="s">
        <v>0</v>
      </c>
      <c r="B1" s="47"/>
      <c r="C1" s="47"/>
      <c r="D1" s="47"/>
      <c r="E1" s="48"/>
      <c r="F1" s="48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="40" customFormat="1" ht="20.25" spans="1:22">
      <c r="A2" s="49" t="s">
        <v>120</v>
      </c>
      <c r="B2" s="49"/>
      <c r="C2" s="49"/>
      <c r="D2" s="49"/>
      <c r="E2" s="50"/>
      <c r="F2" s="51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84"/>
      <c r="U2" s="84"/>
      <c r="V2" s="85"/>
    </row>
    <row r="3" s="41" customFormat="1" ht="23.25" customHeight="1" spans="1:22">
      <c r="A3" s="6" t="s">
        <v>2</v>
      </c>
      <c r="B3" s="7" t="s">
        <v>3</v>
      </c>
      <c r="C3" s="53" t="s">
        <v>4</v>
      </c>
      <c r="D3" s="54"/>
      <c r="E3" s="55"/>
      <c r="F3" s="56" t="s">
        <v>5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86"/>
    </row>
    <row r="4" s="41" customFormat="1" ht="31.5" customHeight="1" spans="1:22">
      <c r="A4" s="9"/>
      <c r="B4" s="10"/>
      <c r="C4" s="14"/>
      <c r="D4" s="58"/>
      <c r="E4" s="59"/>
      <c r="F4" s="60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87"/>
    </row>
    <row r="5" s="42" customFormat="1" ht="26.25" customHeight="1" spans="1:22">
      <c r="A5" s="12"/>
      <c r="B5" s="13"/>
      <c r="C5" s="62" t="s">
        <v>6</v>
      </c>
      <c r="D5" s="62" t="s">
        <v>113</v>
      </c>
      <c r="E5" s="62" t="s">
        <v>8</v>
      </c>
      <c r="F5" s="63" t="s">
        <v>9</v>
      </c>
      <c r="G5" s="64">
        <v>43101</v>
      </c>
      <c r="H5" s="64">
        <v>43132</v>
      </c>
      <c r="I5" s="64">
        <v>43160</v>
      </c>
      <c r="J5" s="64">
        <v>43191</v>
      </c>
      <c r="K5" s="64">
        <v>43221</v>
      </c>
      <c r="L5" s="64">
        <v>43252</v>
      </c>
      <c r="M5" s="64">
        <v>43282</v>
      </c>
      <c r="N5" s="64">
        <v>43313</v>
      </c>
      <c r="O5" s="64">
        <v>43344</v>
      </c>
      <c r="P5" s="64">
        <v>43374</v>
      </c>
      <c r="Q5" s="64">
        <v>43405</v>
      </c>
      <c r="R5" s="64">
        <v>43435</v>
      </c>
      <c r="S5" s="63" t="s">
        <v>10</v>
      </c>
      <c r="T5" s="63" t="s">
        <v>11</v>
      </c>
      <c r="U5" s="63" t="s">
        <v>12</v>
      </c>
      <c r="V5" s="88" t="s">
        <v>13</v>
      </c>
    </row>
    <row r="6" s="42" customFormat="1" ht="25.5" customHeight="1" spans="1:22">
      <c r="A6" s="65">
        <v>1</v>
      </c>
      <c r="B6" s="66" t="s">
        <v>14</v>
      </c>
      <c r="C6" s="67">
        <f>C7+C8+C9+C10+C11+C12+C13</f>
        <v>2540459.08</v>
      </c>
      <c r="D6" s="67">
        <f t="shared" ref="D6:R6" si="0">D7+D8+D9+D10+D11+D12+D13</f>
        <v>227284.29</v>
      </c>
      <c r="E6" s="67">
        <f>C6+D6</f>
        <v>2767743.37</v>
      </c>
      <c r="F6" s="67">
        <f t="shared" si="0"/>
        <v>2680111.48</v>
      </c>
      <c r="G6" s="67">
        <f t="shared" si="0"/>
        <v>224384.29</v>
      </c>
      <c r="H6" s="67">
        <f t="shared" si="0"/>
        <v>224384.29</v>
      </c>
      <c r="I6" s="67">
        <f t="shared" si="0"/>
        <v>223134.29</v>
      </c>
      <c r="J6" s="67">
        <f t="shared" si="0"/>
        <v>223134.29</v>
      </c>
      <c r="K6" s="67">
        <f t="shared" si="0"/>
        <v>223134.29</v>
      </c>
      <c r="L6" s="67">
        <f t="shared" si="0"/>
        <v>223134.29</v>
      </c>
      <c r="M6" s="67">
        <f t="shared" si="0"/>
        <v>223134.29</v>
      </c>
      <c r="N6" s="67">
        <f t="shared" si="0"/>
        <v>223134.29</v>
      </c>
      <c r="O6" s="67">
        <f t="shared" si="0"/>
        <v>223134.29</v>
      </c>
      <c r="P6" s="67">
        <f t="shared" si="0"/>
        <v>223134.29</v>
      </c>
      <c r="Q6" s="67">
        <f t="shared" si="0"/>
        <v>223134.29</v>
      </c>
      <c r="R6" s="67">
        <f t="shared" si="0"/>
        <v>223134.29</v>
      </c>
      <c r="S6" s="89"/>
      <c r="T6" s="90"/>
      <c r="U6" s="90"/>
      <c r="V6" s="88" t="s">
        <v>15</v>
      </c>
    </row>
    <row r="7" ht="26.25" customHeight="1" spans="1:22">
      <c r="A7" s="18">
        <v>2</v>
      </c>
      <c r="B7" s="19" t="s">
        <v>16</v>
      </c>
      <c r="C7" s="68">
        <v>2454477.08</v>
      </c>
      <c r="D7" s="102">
        <v>223134.29</v>
      </c>
      <c r="E7" s="67">
        <f t="shared" ref="E7:E61" si="1">C7+D7</f>
        <v>2677611.37</v>
      </c>
      <c r="F7" s="67">
        <f>SUM(G7:R7)</f>
        <v>2677611.48</v>
      </c>
      <c r="G7" s="68">
        <v>223134.29</v>
      </c>
      <c r="H7" s="68">
        <v>223134.29</v>
      </c>
      <c r="I7" s="68">
        <v>223134.29</v>
      </c>
      <c r="J7" s="68">
        <v>223134.29</v>
      </c>
      <c r="K7" s="68">
        <v>223134.29</v>
      </c>
      <c r="L7" s="68">
        <v>223134.29</v>
      </c>
      <c r="M7" s="68">
        <v>223134.29</v>
      </c>
      <c r="N7" s="68">
        <v>223134.29</v>
      </c>
      <c r="O7" s="68">
        <v>223134.29</v>
      </c>
      <c r="P7" s="68">
        <v>223134.29</v>
      </c>
      <c r="Q7" s="68">
        <v>223134.29</v>
      </c>
      <c r="R7" s="68">
        <v>223134.29</v>
      </c>
      <c r="S7" s="69"/>
      <c r="T7" s="91" t="s">
        <v>17</v>
      </c>
      <c r="U7" s="91" t="s">
        <v>18</v>
      </c>
      <c r="V7" s="92" t="s">
        <v>114</v>
      </c>
    </row>
    <row r="8" ht="26.25" customHeight="1" spans="1:22">
      <c r="A8" s="18">
        <v>3</v>
      </c>
      <c r="B8" s="19" t="s">
        <v>20</v>
      </c>
      <c r="C8" s="68"/>
      <c r="D8" s="102"/>
      <c r="E8" s="67">
        <f t="shared" si="1"/>
        <v>0</v>
      </c>
      <c r="F8" s="67">
        <f t="shared" ref="F8:F64" si="2">SUM(G8:R8)</f>
        <v>0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9"/>
      <c r="T8" s="91" t="s">
        <v>17</v>
      </c>
      <c r="U8" s="91" t="s">
        <v>18</v>
      </c>
      <c r="V8" s="92" t="s">
        <v>115</v>
      </c>
    </row>
    <row r="9" ht="26.25" customHeight="1" spans="1:22">
      <c r="A9" s="18">
        <v>4</v>
      </c>
      <c r="B9" s="19" t="s">
        <v>22</v>
      </c>
      <c r="C9" s="68">
        <v>6600</v>
      </c>
      <c r="D9" s="102">
        <v>600</v>
      </c>
      <c r="E9" s="67">
        <f t="shared" si="1"/>
        <v>7200</v>
      </c>
      <c r="F9" s="67">
        <f t="shared" si="2"/>
        <v>0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9"/>
      <c r="T9" s="91" t="s">
        <v>17</v>
      </c>
      <c r="U9" s="91" t="s">
        <v>18</v>
      </c>
      <c r="V9" s="92" t="s">
        <v>23</v>
      </c>
    </row>
    <row r="10" ht="30.75" customHeight="1" spans="1:22">
      <c r="A10" s="18">
        <v>5</v>
      </c>
      <c r="B10" s="19" t="s">
        <v>24</v>
      </c>
      <c r="C10" s="68">
        <v>65632</v>
      </c>
      <c r="D10" s="102">
        <v>2300</v>
      </c>
      <c r="E10" s="67">
        <f t="shared" si="1"/>
        <v>67932</v>
      </c>
      <c r="F10" s="67">
        <f t="shared" si="2"/>
        <v>0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9"/>
      <c r="T10" s="91" t="s">
        <v>17</v>
      </c>
      <c r="U10" s="91" t="s">
        <v>18</v>
      </c>
      <c r="V10" s="92" t="s">
        <v>25</v>
      </c>
    </row>
    <row r="11" ht="30" customHeight="1" spans="1:22">
      <c r="A11" s="18">
        <v>6</v>
      </c>
      <c r="B11" s="19" t="s">
        <v>26</v>
      </c>
      <c r="C11" s="68"/>
      <c r="D11" s="102"/>
      <c r="E11" s="67">
        <f t="shared" si="1"/>
        <v>0</v>
      </c>
      <c r="F11" s="67">
        <f t="shared" si="2"/>
        <v>0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9"/>
      <c r="T11" s="91" t="s">
        <v>17</v>
      </c>
      <c r="U11" s="91" t="s">
        <v>18</v>
      </c>
      <c r="V11" s="92" t="s">
        <v>27</v>
      </c>
    </row>
    <row r="12" ht="23.25" customHeight="1" spans="1:22">
      <c r="A12" s="18">
        <v>7</v>
      </c>
      <c r="B12" s="19" t="s">
        <v>28</v>
      </c>
      <c r="C12" s="68"/>
      <c r="D12" s="102"/>
      <c r="E12" s="67">
        <f t="shared" si="1"/>
        <v>0</v>
      </c>
      <c r="F12" s="67">
        <f t="shared" si="2"/>
        <v>0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9"/>
      <c r="T12" s="91" t="s">
        <v>17</v>
      </c>
      <c r="U12" s="91" t="s">
        <v>18</v>
      </c>
      <c r="V12" s="92" t="s">
        <v>29</v>
      </c>
    </row>
    <row r="13" s="43" customFormat="1" ht="23.25" customHeight="1" spans="1:22">
      <c r="A13" s="18">
        <v>8</v>
      </c>
      <c r="B13" s="19" t="s">
        <v>30</v>
      </c>
      <c r="C13" s="68">
        <v>13750</v>
      </c>
      <c r="D13" s="102">
        <v>1250</v>
      </c>
      <c r="E13" s="67">
        <f t="shared" si="1"/>
        <v>15000</v>
      </c>
      <c r="F13" s="67">
        <f t="shared" si="2"/>
        <v>2500</v>
      </c>
      <c r="G13" s="68">
        <v>1250</v>
      </c>
      <c r="H13" s="68">
        <v>1250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9"/>
      <c r="T13" s="91" t="s">
        <v>17</v>
      </c>
      <c r="U13" s="91" t="s">
        <v>18</v>
      </c>
      <c r="V13" s="92" t="s">
        <v>31</v>
      </c>
    </row>
    <row r="14" s="42" customFormat="1" ht="28.5" customHeight="1" spans="1:22">
      <c r="A14" s="65">
        <v>9</v>
      </c>
      <c r="B14" s="66" t="s">
        <v>32</v>
      </c>
      <c r="C14" s="67">
        <f>C15+C16+C17+C18+C19+C20+C21+C22</f>
        <v>1258013.43</v>
      </c>
      <c r="D14" s="67">
        <f t="shared" ref="D14:R14" si="3">D15+D16+D17+D18+D19+D20+D21+D22</f>
        <v>114823</v>
      </c>
      <c r="E14" s="67">
        <f t="shared" si="3"/>
        <v>1372836.43</v>
      </c>
      <c r="F14" s="67">
        <f t="shared" si="2"/>
        <v>1305610</v>
      </c>
      <c r="G14" s="67">
        <f t="shared" si="3"/>
        <v>97930</v>
      </c>
      <c r="H14" s="67">
        <f t="shared" si="3"/>
        <v>110180</v>
      </c>
      <c r="I14" s="67">
        <f t="shared" si="3"/>
        <v>110280</v>
      </c>
      <c r="J14" s="67">
        <f t="shared" si="3"/>
        <v>108060</v>
      </c>
      <c r="K14" s="67">
        <f t="shared" si="3"/>
        <v>108140</v>
      </c>
      <c r="L14" s="67">
        <f t="shared" si="3"/>
        <v>110420</v>
      </c>
      <c r="M14" s="67">
        <f t="shared" si="3"/>
        <v>108140</v>
      </c>
      <c r="N14" s="67">
        <f t="shared" si="3"/>
        <v>107940</v>
      </c>
      <c r="O14" s="67">
        <f t="shared" si="3"/>
        <v>117300</v>
      </c>
      <c r="P14" s="67">
        <f t="shared" si="3"/>
        <v>109140</v>
      </c>
      <c r="Q14" s="67">
        <f t="shared" si="3"/>
        <v>108740</v>
      </c>
      <c r="R14" s="67">
        <f t="shared" si="3"/>
        <v>109340</v>
      </c>
      <c r="S14" s="89"/>
      <c r="T14" s="90"/>
      <c r="U14" s="90" t="s">
        <v>18</v>
      </c>
      <c r="V14" s="88" t="s">
        <v>33</v>
      </c>
    </row>
    <row r="15" ht="29.25" customHeight="1" spans="1:22">
      <c r="A15" s="18">
        <v>10</v>
      </c>
      <c r="B15" s="19" t="s">
        <v>34</v>
      </c>
      <c r="C15" s="68">
        <v>1167817</v>
      </c>
      <c r="D15" s="102">
        <v>111402</v>
      </c>
      <c r="E15" s="67">
        <f t="shared" si="1"/>
        <v>1279219</v>
      </c>
      <c r="F15" s="67">
        <f t="shared" si="2"/>
        <v>1219390</v>
      </c>
      <c r="G15" s="68">
        <f>1600*14+1700+1400*34+1800*3+2600*4+17*30+3*50+5070</f>
        <v>93230</v>
      </c>
      <c r="H15" s="68">
        <f>1600*14+1700+1400*34+1800*3+2600*3+13*30+5070</f>
        <v>90360</v>
      </c>
      <c r="I15" s="68">
        <f>1600*25+1700*9+1500*2+1800*8+2600*3+1900*3+1750*2+2000*2+54*50+54*30+5260</f>
        <v>103280</v>
      </c>
      <c r="J15" s="68">
        <f>1600*25+1700*9+1500*2+1800*8+2600*3+1900*3+1750*2+2000*2+54*50+54*30+5340</f>
        <v>103360</v>
      </c>
      <c r="K15" s="68">
        <f>1600*25+1700*9+1500*2+1800*8+2600*3+1900*3+1750*2+2000*2+54*50+54*30+5420</f>
        <v>103440</v>
      </c>
      <c r="L15" s="68">
        <f>1600*25+1700*9+1500*2+1800*8+2600*3+1900*3+1750*2+2000*2+54*50+54*30+5420</f>
        <v>103440</v>
      </c>
      <c r="M15" s="68">
        <f>1600*25+1700*9+1500*2+1800*8+2600*3+1900*3+1750*2+2000*2+54*50+54*30+5420</f>
        <v>103440</v>
      </c>
      <c r="N15" s="68">
        <f>1600*25+1700*9+1500*2+1800*8+2600*3+1900*3+1750*2+2000*2+54*50+54*30+5220</f>
        <v>103240</v>
      </c>
      <c r="O15" s="68">
        <f>1600*25+1700*9+1500*2+1800*8+2600*3+1900*3+1750*2+2000*2+54*50+54*30+5620</f>
        <v>103640</v>
      </c>
      <c r="P15" s="68">
        <f>1600*25+1700*9+1500*2+1800*8+2600*3+1900*3+1750*2+2000*2+54*50+54*30+5860</f>
        <v>103880</v>
      </c>
      <c r="Q15" s="68">
        <f>1600*25+1700*9+1500*2+1800*8+2600*3+1900*3+1750*2+2000*2+54*50+54*30+6020</f>
        <v>104040</v>
      </c>
      <c r="R15" s="68">
        <f>1600*25+1700*9+1500*2+1800*8+2600*3+1900*3+1750*2+2000*2+54*50+54*30+6020</f>
        <v>104040</v>
      </c>
      <c r="S15" s="69"/>
      <c r="T15" s="93" t="s">
        <v>35</v>
      </c>
      <c r="U15" s="91" t="s">
        <v>18</v>
      </c>
      <c r="V15" s="92" t="s">
        <v>116</v>
      </c>
    </row>
    <row r="16" ht="23.25" customHeight="1" spans="1:22">
      <c r="A16" s="18">
        <v>11</v>
      </c>
      <c r="B16" s="19" t="s">
        <v>117</v>
      </c>
      <c r="C16" s="68">
        <v>41753.66</v>
      </c>
      <c r="D16" s="102"/>
      <c r="E16" s="67">
        <f t="shared" si="1"/>
        <v>41753.66</v>
      </c>
      <c r="F16" s="67">
        <f t="shared" si="2"/>
        <v>28620</v>
      </c>
      <c r="G16" s="68"/>
      <c r="H16" s="68">
        <f>270*56</f>
        <v>15120</v>
      </c>
      <c r="I16" s="68">
        <f>50*46</f>
        <v>2300</v>
      </c>
      <c r="J16" s="68">
        <v>0</v>
      </c>
      <c r="K16" s="68">
        <v>0</v>
      </c>
      <c r="L16" s="68">
        <f>30*56</f>
        <v>1680</v>
      </c>
      <c r="M16" s="68">
        <v>0</v>
      </c>
      <c r="N16" s="68">
        <v>0</v>
      </c>
      <c r="O16" s="68">
        <f>160*56</f>
        <v>8960</v>
      </c>
      <c r="P16" s="68">
        <f>10*56</f>
        <v>560</v>
      </c>
      <c r="Q16" s="68">
        <v>0</v>
      </c>
      <c r="R16" s="68">
        <v>0</v>
      </c>
      <c r="S16" s="69"/>
      <c r="T16" s="93" t="s">
        <v>35</v>
      </c>
      <c r="U16" s="91" t="s">
        <v>18</v>
      </c>
      <c r="V16" s="92" t="s">
        <v>38</v>
      </c>
    </row>
    <row r="17" ht="23.25" customHeight="1" spans="1:22">
      <c r="A17" s="18">
        <v>12</v>
      </c>
      <c r="B17" s="19" t="s">
        <v>39</v>
      </c>
      <c r="C17" s="68">
        <v>8057</v>
      </c>
      <c r="D17" s="102"/>
      <c r="E17" s="67">
        <f t="shared" si="1"/>
        <v>8057</v>
      </c>
      <c r="F17" s="67">
        <f t="shared" si="2"/>
        <v>9600</v>
      </c>
      <c r="G17" s="68">
        <v>800</v>
      </c>
      <c r="H17" s="68">
        <v>800</v>
      </c>
      <c r="I17" s="68">
        <v>800</v>
      </c>
      <c r="J17" s="68">
        <v>800</v>
      </c>
      <c r="K17" s="68">
        <v>800</v>
      </c>
      <c r="L17" s="68">
        <v>800</v>
      </c>
      <c r="M17" s="68">
        <v>800</v>
      </c>
      <c r="N17" s="68">
        <v>800</v>
      </c>
      <c r="O17" s="68">
        <v>800</v>
      </c>
      <c r="P17" s="68">
        <v>800</v>
      </c>
      <c r="Q17" s="68">
        <v>800</v>
      </c>
      <c r="R17" s="68">
        <v>800</v>
      </c>
      <c r="S17" s="69"/>
      <c r="T17" s="93" t="s">
        <v>40</v>
      </c>
      <c r="U17" s="91" t="s">
        <v>18</v>
      </c>
      <c r="V17" s="92" t="s">
        <v>41</v>
      </c>
    </row>
    <row r="18" ht="23.25" customHeight="1" spans="1:22">
      <c r="A18" s="18">
        <v>13</v>
      </c>
      <c r="B18" s="19" t="s">
        <v>42</v>
      </c>
      <c r="C18" s="68">
        <v>39738.77</v>
      </c>
      <c r="D18" s="102">
        <v>3421</v>
      </c>
      <c r="E18" s="67">
        <f t="shared" si="1"/>
        <v>43159.77</v>
      </c>
      <c r="F18" s="67">
        <f t="shared" si="2"/>
        <v>46800</v>
      </c>
      <c r="G18" s="68">
        <v>3900</v>
      </c>
      <c r="H18" s="68">
        <v>3900</v>
      </c>
      <c r="I18" s="68">
        <v>3900</v>
      </c>
      <c r="J18" s="68">
        <v>3900</v>
      </c>
      <c r="K18" s="68">
        <v>3900</v>
      </c>
      <c r="L18" s="68">
        <v>3900</v>
      </c>
      <c r="M18" s="68">
        <v>3900</v>
      </c>
      <c r="N18" s="68">
        <v>3900</v>
      </c>
      <c r="O18" s="68">
        <v>3900</v>
      </c>
      <c r="P18" s="68">
        <v>3900</v>
      </c>
      <c r="Q18" s="68">
        <v>3900</v>
      </c>
      <c r="R18" s="68">
        <v>3900</v>
      </c>
      <c r="S18" s="69"/>
      <c r="T18" s="93" t="s">
        <v>40</v>
      </c>
      <c r="U18" s="91" t="s">
        <v>18</v>
      </c>
      <c r="V18" s="92" t="s">
        <v>43</v>
      </c>
    </row>
    <row r="19" ht="30.75" customHeight="1" spans="1:22">
      <c r="A19" s="18">
        <v>14</v>
      </c>
      <c r="B19" s="19" t="s">
        <v>44</v>
      </c>
      <c r="C19" s="68">
        <v>115</v>
      </c>
      <c r="D19" s="102"/>
      <c r="E19" s="67">
        <f t="shared" si="1"/>
        <v>115</v>
      </c>
      <c r="F19" s="67">
        <f t="shared" si="2"/>
        <v>0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9"/>
      <c r="T19" s="93" t="s">
        <v>40</v>
      </c>
      <c r="U19" s="91" t="s">
        <v>18</v>
      </c>
      <c r="V19" s="92" t="s">
        <v>45</v>
      </c>
    </row>
    <row r="20" ht="23.25" customHeight="1" spans="1:22">
      <c r="A20" s="18">
        <v>15</v>
      </c>
      <c r="B20" s="19" t="s">
        <v>46</v>
      </c>
      <c r="C20" s="68"/>
      <c r="D20" s="102"/>
      <c r="E20" s="67">
        <f t="shared" si="1"/>
        <v>0</v>
      </c>
      <c r="F20" s="67">
        <f t="shared" si="2"/>
        <v>0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9"/>
      <c r="T20" s="93" t="s">
        <v>40</v>
      </c>
      <c r="U20" s="91" t="s">
        <v>18</v>
      </c>
      <c r="V20" s="92" t="s">
        <v>47</v>
      </c>
    </row>
    <row r="21" ht="23.25" customHeight="1" spans="1:22">
      <c r="A21" s="18">
        <v>16</v>
      </c>
      <c r="B21" s="19" t="s">
        <v>118</v>
      </c>
      <c r="C21" s="68">
        <v>532</v>
      </c>
      <c r="D21" s="102">
        <v>0</v>
      </c>
      <c r="E21" s="67">
        <f t="shared" si="1"/>
        <v>532</v>
      </c>
      <c r="F21" s="67">
        <f t="shared" si="2"/>
        <v>1200</v>
      </c>
      <c r="G21" s="68"/>
      <c r="H21" s="68"/>
      <c r="I21" s="68"/>
      <c r="J21" s="68"/>
      <c r="K21" s="68"/>
      <c r="L21" s="68">
        <v>600</v>
      </c>
      <c r="M21" s="68"/>
      <c r="N21" s="68"/>
      <c r="O21" s="68"/>
      <c r="P21" s="68"/>
      <c r="Q21" s="68"/>
      <c r="R21" s="68">
        <v>600</v>
      </c>
      <c r="S21" s="69"/>
      <c r="T21" s="93" t="s">
        <v>40</v>
      </c>
      <c r="U21" s="91" t="s">
        <v>18</v>
      </c>
      <c r="V21" s="92" t="s">
        <v>49</v>
      </c>
    </row>
    <row r="22" s="43" customFormat="1" ht="23.25" customHeight="1" spans="1:22">
      <c r="A22" s="18">
        <v>17</v>
      </c>
      <c r="B22" s="19" t="s">
        <v>50</v>
      </c>
      <c r="C22" s="68"/>
      <c r="D22" s="102"/>
      <c r="E22" s="67">
        <f t="shared" si="1"/>
        <v>0</v>
      </c>
      <c r="F22" s="67">
        <f t="shared" si="2"/>
        <v>0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9"/>
      <c r="T22" s="93" t="s">
        <v>40</v>
      </c>
      <c r="U22" s="91" t="s">
        <v>18</v>
      </c>
      <c r="V22" s="92" t="s">
        <v>51</v>
      </c>
    </row>
    <row r="23" s="42" customFormat="1" ht="23.25" customHeight="1" spans="1:22">
      <c r="A23" s="65">
        <v>18</v>
      </c>
      <c r="B23" s="66" t="s">
        <v>52</v>
      </c>
      <c r="C23" s="72">
        <f>C24+C25+C26+C27+C28</f>
        <v>80283.6795029126</v>
      </c>
      <c r="D23" s="72">
        <f t="shared" ref="D23:R23" si="4">D24+D25+D26+D27+D28</f>
        <v>7298.5166446602</v>
      </c>
      <c r="E23" s="72">
        <f t="shared" si="1"/>
        <v>87582.1961475728</v>
      </c>
      <c r="F23" s="72">
        <f t="shared" si="2"/>
        <v>174694.651899029</v>
      </c>
      <c r="G23" s="72">
        <f t="shared" si="4"/>
        <v>14557.8876582524</v>
      </c>
      <c r="H23" s="72">
        <f t="shared" si="4"/>
        <v>14557.8876582524</v>
      </c>
      <c r="I23" s="72">
        <f t="shared" si="4"/>
        <v>14557.8876582524</v>
      </c>
      <c r="J23" s="72">
        <f t="shared" si="4"/>
        <v>14557.8876582524</v>
      </c>
      <c r="K23" s="72">
        <f t="shared" si="4"/>
        <v>14557.8876582524</v>
      </c>
      <c r="L23" s="72">
        <f t="shared" si="4"/>
        <v>14557.8876582524</v>
      </c>
      <c r="M23" s="72">
        <f t="shared" si="4"/>
        <v>14557.8876582524</v>
      </c>
      <c r="N23" s="72">
        <f t="shared" si="4"/>
        <v>14557.8876582524</v>
      </c>
      <c r="O23" s="72">
        <f t="shared" si="4"/>
        <v>14557.8876582524</v>
      </c>
      <c r="P23" s="72">
        <f t="shared" si="4"/>
        <v>14557.8876582524</v>
      </c>
      <c r="Q23" s="72">
        <f t="shared" si="4"/>
        <v>14557.8876582524</v>
      </c>
      <c r="R23" s="72">
        <f t="shared" si="4"/>
        <v>14557.8876582524</v>
      </c>
      <c r="S23" s="89"/>
      <c r="T23" s="90"/>
      <c r="U23" s="90" t="s">
        <v>18</v>
      </c>
      <c r="V23" s="88" t="s">
        <v>53</v>
      </c>
    </row>
    <row r="24" ht="23.25" customHeight="1" spans="1:22">
      <c r="A24" s="18">
        <v>19</v>
      </c>
      <c r="B24" s="19" t="s">
        <v>54</v>
      </c>
      <c r="C24" s="32">
        <f>(C7+C9)/1.03*0.03</f>
        <v>71681.8566990291</v>
      </c>
      <c r="D24" s="32">
        <f>(D7+D9)/1.03*0.03</f>
        <v>6516.5327184466</v>
      </c>
      <c r="E24" s="72">
        <f t="shared" si="1"/>
        <v>78198.3894174757</v>
      </c>
      <c r="F24" s="72">
        <f t="shared" si="2"/>
        <v>155977.36776699</v>
      </c>
      <c r="G24" s="32">
        <f>(G7+G8)/1.03*0.06</f>
        <v>12998.1139805825</v>
      </c>
      <c r="H24" s="32">
        <f t="shared" ref="H24:R24" si="5">(H7+H8)/1.03*0.06</f>
        <v>12998.1139805825</v>
      </c>
      <c r="I24" s="32">
        <f t="shared" si="5"/>
        <v>12998.1139805825</v>
      </c>
      <c r="J24" s="32">
        <f t="shared" si="5"/>
        <v>12998.1139805825</v>
      </c>
      <c r="K24" s="32">
        <f t="shared" si="5"/>
        <v>12998.1139805825</v>
      </c>
      <c r="L24" s="32">
        <f t="shared" si="5"/>
        <v>12998.1139805825</v>
      </c>
      <c r="M24" s="32">
        <f t="shared" si="5"/>
        <v>12998.1139805825</v>
      </c>
      <c r="N24" s="32">
        <f t="shared" si="5"/>
        <v>12998.1139805825</v>
      </c>
      <c r="O24" s="32">
        <f t="shared" si="5"/>
        <v>12998.1139805825</v>
      </c>
      <c r="P24" s="32">
        <f t="shared" si="5"/>
        <v>12998.1139805825</v>
      </c>
      <c r="Q24" s="32">
        <f t="shared" si="5"/>
        <v>12998.1139805825</v>
      </c>
      <c r="R24" s="32">
        <f t="shared" si="5"/>
        <v>12998.1139805825</v>
      </c>
      <c r="S24" s="69"/>
      <c r="T24" s="91" t="s">
        <v>17</v>
      </c>
      <c r="U24" s="91" t="s">
        <v>18</v>
      </c>
      <c r="V24" s="92" t="s">
        <v>55</v>
      </c>
    </row>
    <row r="25" ht="23.25" customHeight="1" spans="1:22">
      <c r="A25" s="18">
        <v>20</v>
      </c>
      <c r="B25" s="19" t="s">
        <v>56</v>
      </c>
      <c r="C25" s="32">
        <f>C24*0.07</f>
        <v>5017.72996893204</v>
      </c>
      <c r="D25" s="32">
        <f>D24*0.07</f>
        <v>456.157290291262</v>
      </c>
      <c r="E25" s="72">
        <f t="shared" si="1"/>
        <v>5473.8872592233</v>
      </c>
      <c r="F25" s="72">
        <f t="shared" si="2"/>
        <v>10918.4157436893</v>
      </c>
      <c r="G25" s="32">
        <f t="shared" ref="G25:R25" si="6">G24*0.07</f>
        <v>909.867978640777</v>
      </c>
      <c r="H25" s="32">
        <f t="shared" si="6"/>
        <v>909.867978640777</v>
      </c>
      <c r="I25" s="32">
        <f t="shared" si="6"/>
        <v>909.867978640777</v>
      </c>
      <c r="J25" s="32">
        <f t="shared" si="6"/>
        <v>909.867978640777</v>
      </c>
      <c r="K25" s="32">
        <f t="shared" si="6"/>
        <v>909.867978640777</v>
      </c>
      <c r="L25" s="32">
        <f t="shared" si="6"/>
        <v>909.867978640777</v>
      </c>
      <c r="M25" s="32">
        <f t="shared" si="6"/>
        <v>909.867978640777</v>
      </c>
      <c r="N25" s="32">
        <f t="shared" si="6"/>
        <v>909.867978640777</v>
      </c>
      <c r="O25" s="32">
        <f t="shared" si="6"/>
        <v>909.867978640777</v>
      </c>
      <c r="P25" s="32">
        <f t="shared" si="6"/>
        <v>909.867978640777</v>
      </c>
      <c r="Q25" s="32">
        <f t="shared" si="6"/>
        <v>909.867978640777</v>
      </c>
      <c r="R25" s="32">
        <f t="shared" si="6"/>
        <v>909.867978640777</v>
      </c>
      <c r="S25" s="69"/>
      <c r="T25" s="91" t="s">
        <v>17</v>
      </c>
      <c r="U25" s="91" t="s">
        <v>18</v>
      </c>
      <c r="V25" s="92" t="s">
        <v>57</v>
      </c>
    </row>
    <row r="26" ht="23.25" customHeight="1" spans="1:22">
      <c r="A26" s="18">
        <v>21</v>
      </c>
      <c r="B26" s="19" t="s">
        <v>58</v>
      </c>
      <c r="C26" s="32">
        <f>C24*0.03</f>
        <v>2150.45570097087</v>
      </c>
      <c r="D26" s="32">
        <f>D24*0.03</f>
        <v>195.495981553398</v>
      </c>
      <c r="E26" s="72">
        <f t="shared" si="1"/>
        <v>2345.95168252427</v>
      </c>
      <c r="F26" s="72">
        <f t="shared" si="2"/>
        <v>4679.32103300971</v>
      </c>
      <c r="G26" s="32">
        <f t="shared" ref="G26:R26" si="7">G24*0.03</f>
        <v>389.943419417476</v>
      </c>
      <c r="H26" s="32">
        <f t="shared" si="7"/>
        <v>389.943419417476</v>
      </c>
      <c r="I26" s="32">
        <f t="shared" si="7"/>
        <v>389.943419417476</v>
      </c>
      <c r="J26" s="32">
        <f t="shared" si="7"/>
        <v>389.943419417476</v>
      </c>
      <c r="K26" s="32">
        <f t="shared" si="7"/>
        <v>389.943419417476</v>
      </c>
      <c r="L26" s="32">
        <f t="shared" si="7"/>
        <v>389.943419417476</v>
      </c>
      <c r="M26" s="32">
        <f t="shared" si="7"/>
        <v>389.943419417476</v>
      </c>
      <c r="N26" s="32">
        <f t="shared" si="7"/>
        <v>389.943419417476</v>
      </c>
      <c r="O26" s="32">
        <f t="shared" si="7"/>
        <v>389.943419417476</v>
      </c>
      <c r="P26" s="32">
        <f t="shared" si="7"/>
        <v>389.943419417476</v>
      </c>
      <c r="Q26" s="32">
        <f t="shared" si="7"/>
        <v>389.943419417476</v>
      </c>
      <c r="R26" s="32">
        <f t="shared" si="7"/>
        <v>389.943419417476</v>
      </c>
      <c r="S26" s="69"/>
      <c r="T26" s="91" t="s">
        <v>17</v>
      </c>
      <c r="U26" s="91" t="s">
        <v>18</v>
      </c>
      <c r="V26" s="92" t="s">
        <v>57</v>
      </c>
    </row>
    <row r="27" ht="23.25" customHeight="1" spans="1:22">
      <c r="A27" s="18">
        <v>22</v>
      </c>
      <c r="B27" s="19" t="s">
        <v>59</v>
      </c>
      <c r="C27" s="32">
        <f>C24*0.02</f>
        <v>1433.63713398058</v>
      </c>
      <c r="D27" s="32">
        <f>D24*0.02</f>
        <v>130.330654368932</v>
      </c>
      <c r="E27" s="72">
        <f t="shared" si="1"/>
        <v>1563.96778834951</v>
      </c>
      <c r="F27" s="72">
        <f t="shared" si="2"/>
        <v>3119.54735533981</v>
      </c>
      <c r="G27" s="32">
        <f t="shared" ref="G27:R27" si="8">G24*0.02</f>
        <v>259.962279611651</v>
      </c>
      <c r="H27" s="32">
        <f t="shared" si="8"/>
        <v>259.962279611651</v>
      </c>
      <c r="I27" s="32">
        <f t="shared" si="8"/>
        <v>259.962279611651</v>
      </c>
      <c r="J27" s="32">
        <f t="shared" si="8"/>
        <v>259.962279611651</v>
      </c>
      <c r="K27" s="32">
        <f t="shared" si="8"/>
        <v>259.962279611651</v>
      </c>
      <c r="L27" s="32">
        <f t="shared" si="8"/>
        <v>259.962279611651</v>
      </c>
      <c r="M27" s="32">
        <f t="shared" si="8"/>
        <v>259.962279611651</v>
      </c>
      <c r="N27" s="32">
        <f t="shared" si="8"/>
        <v>259.962279611651</v>
      </c>
      <c r="O27" s="32">
        <f t="shared" si="8"/>
        <v>259.962279611651</v>
      </c>
      <c r="P27" s="32">
        <f t="shared" si="8"/>
        <v>259.962279611651</v>
      </c>
      <c r="Q27" s="32">
        <f t="shared" si="8"/>
        <v>259.962279611651</v>
      </c>
      <c r="R27" s="32">
        <f t="shared" si="8"/>
        <v>259.962279611651</v>
      </c>
      <c r="S27" s="69"/>
      <c r="T27" s="91" t="s">
        <v>17</v>
      </c>
      <c r="U27" s="91" t="s">
        <v>18</v>
      </c>
      <c r="V27" s="92" t="s">
        <v>57</v>
      </c>
    </row>
    <row r="28" s="43" customFormat="1" ht="23.25" customHeight="1" spans="1:22">
      <c r="A28" s="18">
        <v>23</v>
      </c>
      <c r="B28" s="19" t="s">
        <v>60</v>
      </c>
      <c r="C28" s="70"/>
      <c r="D28" s="70"/>
      <c r="E28" s="67">
        <f t="shared" si="1"/>
        <v>0</v>
      </c>
      <c r="F28" s="67">
        <f t="shared" si="2"/>
        <v>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91" t="s">
        <v>17</v>
      </c>
      <c r="U28" s="91" t="s">
        <v>18</v>
      </c>
      <c r="V28" s="92" t="s">
        <v>51</v>
      </c>
    </row>
    <row r="29" s="42" customFormat="1" ht="41.25" customHeight="1" spans="1:22">
      <c r="A29" s="65">
        <v>24</v>
      </c>
      <c r="B29" s="66" t="s">
        <v>61</v>
      </c>
      <c r="C29" s="72">
        <f>C6-C14-C23</f>
        <v>1202161.97049709</v>
      </c>
      <c r="D29" s="72">
        <f t="shared" ref="D29:R29" si="9">D6-D14-D23</f>
        <v>105162.77335534</v>
      </c>
      <c r="E29" s="72">
        <f t="shared" si="9"/>
        <v>1307324.74385243</v>
      </c>
      <c r="F29" s="72">
        <f t="shared" si="2"/>
        <v>1199806.82810097</v>
      </c>
      <c r="G29" s="72">
        <f t="shared" si="9"/>
        <v>111896.402341748</v>
      </c>
      <c r="H29" s="72">
        <f t="shared" si="9"/>
        <v>99646.4023417476</v>
      </c>
      <c r="I29" s="72">
        <f t="shared" si="9"/>
        <v>98296.4023417476</v>
      </c>
      <c r="J29" s="72">
        <f t="shared" si="9"/>
        <v>100516.402341748</v>
      </c>
      <c r="K29" s="72">
        <f t="shared" si="9"/>
        <v>100436.402341748</v>
      </c>
      <c r="L29" s="72">
        <f t="shared" si="9"/>
        <v>98156.4023417476</v>
      </c>
      <c r="M29" s="72">
        <f t="shared" si="9"/>
        <v>100436.402341748</v>
      </c>
      <c r="N29" s="72">
        <f t="shared" si="9"/>
        <v>100636.402341748</v>
      </c>
      <c r="O29" s="72">
        <f t="shared" si="9"/>
        <v>91276.4023417476</v>
      </c>
      <c r="P29" s="72">
        <f t="shared" si="9"/>
        <v>99436.4023417476</v>
      </c>
      <c r="Q29" s="72">
        <f t="shared" si="9"/>
        <v>99836.4023417476</v>
      </c>
      <c r="R29" s="72">
        <f t="shared" si="9"/>
        <v>99236.4023417476</v>
      </c>
      <c r="S29" s="89"/>
      <c r="T29" s="90"/>
      <c r="U29" s="90" t="s">
        <v>18</v>
      </c>
      <c r="V29" s="88"/>
    </row>
    <row r="30" s="42" customFormat="1" ht="27.75" customHeight="1" spans="1:22">
      <c r="A30" s="65">
        <v>25</v>
      </c>
      <c r="B30" s="66" t="s">
        <v>62</v>
      </c>
      <c r="C30" s="74">
        <f>C31+C32+C33+C34+C35+C38+C41+C47+C48+C49+C50+C51+C52</f>
        <v>296680.68</v>
      </c>
      <c r="D30" s="74">
        <f t="shared" ref="D30:R30" si="10">D31+D32+D33+D34+D35+D38+D41+D47+D48+D49+D50+D51+D52</f>
        <v>15530.8966666667</v>
      </c>
      <c r="E30" s="74">
        <f t="shared" si="10"/>
        <v>312211.576666667</v>
      </c>
      <c r="F30" s="67">
        <f t="shared" si="2"/>
        <v>234601.15</v>
      </c>
      <c r="G30" s="74">
        <f t="shared" si="10"/>
        <v>18912.7791666667</v>
      </c>
      <c r="H30" s="74">
        <f t="shared" si="10"/>
        <v>18322.7791666667</v>
      </c>
      <c r="I30" s="74">
        <f t="shared" si="10"/>
        <v>17612.7791666667</v>
      </c>
      <c r="J30" s="74">
        <f t="shared" si="10"/>
        <v>20712.7791666667</v>
      </c>
      <c r="K30" s="74">
        <f t="shared" si="10"/>
        <v>19780.0041666667</v>
      </c>
      <c r="L30" s="74">
        <f t="shared" si="10"/>
        <v>19900.0041666667</v>
      </c>
      <c r="M30" s="74">
        <f t="shared" si="10"/>
        <v>19780.0041666667</v>
      </c>
      <c r="N30" s="74">
        <f t="shared" si="10"/>
        <v>19780.0041666667</v>
      </c>
      <c r="O30" s="74">
        <f t="shared" si="10"/>
        <v>20420.0041666667</v>
      </c>
      <c r="P30" s="74">
        <f t="shared" si="10"/>
        <v>19820.0041666667</v>
      </c>
      <c r="Q30" s="74">
        <f t="shared" si="10"/>
        <v>19780.0041666667</v>
      </c>
      <c r="R30" s="74">
        <f t="shared" si="10"/>
        <v>19780.0041666667</v>
      </c>
      <c r="S30" s="89"/>
      <c r="T30" s="90"/>
      <c r="U30" s="90" t="s">
        <v>18</v>
      </c>
      <c r="V30" s="88" t="s">
        <v>63</v>
      </c>
    </row>
    <row r="31" ht="23.25" customHeight="1" spans="1:22">
      <c r="A31" s="18">
        <v>26</v>
      </c>
      <c r="B31" s="19" t="s">
        <v>64</v>
      </c>
      <c r="C31" s="68"/>
      <c r="D31" s="102"/>
      <c r="E31" s="67">
        <f t="shared" si="1"/>
        <v>0</v>
      </c>
      <c r="F31" s="104">
        <f t="shared" si="2"/>
        <v>165600</v>
      </c>
      <c r="G31" s="68">
        <f>4500+3500+3000+2800</f>
        <v>13800</v>
      </c>
      <c r="H31" s="68">
        <f t="shared" ref="H31:R31" si="11">4500+3500+3000+2800</f>
        <v>13800</v>
      </c>
      <c r="I31" s="68">
        <f t="shared" si="11"/>
        <v>13800</v>
      </c>
      <c r="J31" s="68">
        <f t="shared" si="11"/>
        <v>13800</v>
      </c>
      <c r="K31" s="68">
        <f t="shared" si="11"/>
        <v>13800</v>
      </c>
      <c r="L31" s="68">
        <f t="shared" si="11"/>
        <v>13800</v>
      </c>
      <c r="M31" s="68">
        <f t="shared" si="11"/>
        <v>13800</v>
      </c>
      <c r="N31" s="68">
        <f t="shared" si="11"/>
        <v>13800</v>
      </c>
      <c r="O31" s="68">
        <f t="shared" si="11"/>
        <v>13800</v>
      </c>
      <c r="P31" s="68">
        <f t="shared" si="11"/>
        <v>13800</v>
      </c>
      <c r="Q31" s="68">
        <f t="shared" si="11"/>
        <v>13800</v>
      </c>
      <c r="R31" s="68">
        <f t="shared" si="11"/>
        <v>13800</v>
      </c>
      <c r="S31" s="69"/>
      <c r="T31" s="93" t="s">
        <v>35</v>
      </c>
      <c r="U31" s="91" t="s">
        <v>18</v>
      </c>
      <c r="V31" s="92" t="s">
        <v>119</v>
      </c>
    </row>
    <row r="32" ht="30.75" customHeight="1" spans="1:22">
      <c r="A32" s="18">
        <v>27</v>
      </c>
      <c r="B32" s="19" t="s">
        <v>66</v>
      </c>
      <c r="C32" s="68">
        <v>21654.82</v>
      </c>
      <c r="D32" s="102">
        <v>1963.58</v>
      </c>
      <c r="E32" s="67">
        <f t="shared" si="1"/>
        <v>23618.4</v>
      </c>
      <c r="F32" s="67">
        <f t="shared" si="2"/>
        <v>31741.15</v>
      </c>
      <c r="G32" s="68">
        <f>985.75*1.15*1</f>
        <v>1133.6125</v>
      </c>
      <c r="H32" s="68">
        <f>985.75*1.15*1</f>
        <v>1133.6125</v>
      </c>
      <c r="I32" s="68">
        <f>985.75*1.15*1</f>
        <v>1133.6125</v>
      </c>
      <c r="J32" s="68">
        <f>985.75*1.15*1</f>
        <v>1133.6125</v>
      </c>
      <c r="K32" s="68">
        <f>985.75*1.15*3</f>
        <v>3400.8375</v>
      </c>
      <c r="L32" s="68">
        <f t="shared" ref="L32:R32" si="12">985.75*1.15*3</f>
        <v>3400.8375</v>
      </c>
      <c r="M32" s="68">
        <f t="shared" si="12"/>
        <v>3400.8375</v>
      </c>
      <c r="N32" s="68">
        <f t="shared" si="12"/>
        <v>3400.8375</v>
      </c>
      <c r="O32" s="68">
        <f t="shared" si="12"/>
        <v>3400.8375</v>
      </c>
      <c r="P32" s="68">
        <f t="shared" si="12"/>
        <v>3400.8375</v>
      </c>
      <c r="Q32" s="68">
        <f t="shared" si="12"/>
        <v>3400.8375</v>
      </c>
      <c r="R32" s="68">
        <f t="shared" si="12"/>
        <v>3400.8375</v>
      </c>
      <c r="S32" s="69"/>
      <c r="T32" s="93" t="s">
        <v>35</v>
      </c>
      <c r="U32" s="91" t="s">
        <v>18</v>
      </c>
      <c r="V32" s="92" t="s">
        <v>67</v>
      </c>
    </row>
    <row r="33" ht="36.75" customHeight="1" spans="1:22">
      <c r="A33" s="18">
        <v>28</v>
      </c>
      <c r="B33" s="19" t="s">
        <v>68</v>
      </c>
      <c r="C33" s="68"/>
      <c r="D33" s="102"/>
      <c r="E33" s="67">
        <f t="shared" si="1"/>
        <v>0</v>
      </c>
      <c r="F33" s="104">
        <f t="shared" si="2"/>
        <v>4110</v>
      </c>
      <c r="G33" s="68"/>
      <c r="H33" s="68">
        <f>270*3</f>
        <v>810</v>
      </c>
      <c r="I33" s="68">
        <f>2*50</f>
        <v>100</v>
      </c>
      <c r="J33" s="68">
        <f>800*3</f>
        <v>2400</v>
      </c>
      <c r="K33" s="68">
        <v>0</v>
      </c>
      <c r="L33" s="68">
        <f>30*4</f>
        <v>120</v>
      </c>
      <c r="M33" s="68">
        <v>0</v>
      </c>
      <c r="N33" s="68">
        <v>0</v>
      </c>
      <c r="O33" s="68">
        <f>160*4</f>
        <v>640</v>
      </c>
      <c r="P33" s="68">
        <f>10*4</f>
        <v>40</v>
      </c>
      <c r="Q33" s="68">
        <v>0</v>
      </c>
      <c r="R33" s="68">
        <v>0</v>
      </c>
      <c r="S33" s="69"/>
      <c r="T33" s="93" t="s">
        <v>35</v>
      </c>
      <c r="U33" s="91" t="s">
        <v>18</v>
      </c>
      <c r="V33" s="92" t="s">
        <v>69</v>
      </c>
    </row>
    <row r="34" s="39" customFormat="1" ht="36.75" customHeight="1" spans="1:22">
      <c r="A34" s="18">
        <v>29</v>
      </c>
      <c r="B34" s="19" t="s">
        <v>70</v>
      </c>
      <c r="C34" s="68">
        <v>3801</v>
      </c>
      <c r="D34" s="102">
        <v>345</v>
      </c>
      <c r="E34" s="67">
        <f t="shared" si="1"/>
        <v>4146</v>
      </c>
      <c r="F34" s="67">
        <f t="shared" si="2"/>
        <v>5600</v>
      </c>
      <c r="G34" s="68">
        <v>1750</v>
      </c>
      <c r="H34" s="68">
        <v>350</v>
      </c>
      <c r="I34" s="68">
        <v>350</v>
      </c>
      <c r="J34" s="68">
        <v>350</v>
      </c>
      <c r="K34" s="68">
        <v>350</v>
      </c>
      <c r="L34" s="68">
        <v>350</v>
      </c>
      <c r="M34" s="68">
        <v>350</v>
      </c>
      <c r="N34" s="68">
        <v>350</v>
      </c>
      <c r="O34" s="68">
        <v>350</v>
      </c>
      <c r="P34" s="68">
        <v>350</v>
      </c>
      <c r="Q34" s="68">
        <v>350</v>
      </c>
      <c r="R34" s="68">
        <v>350</v>
      </c>
      <c r="S34" s="69"/>
      <c r="T34" s="93" t="s">
        <v>40</v>
      </c>
      <c r="U34" s="91" t="s">
        <v>18</v>
      </c>
      <c r="V34" s="92" t="s">
        <v>71</v>
      </c>
    </row>
    <row r="35" s="42" customFormat="1" ht="25.5" customHeight="1" spans="1:22">
      <c r="A35" s="65">
        <v>30</v>
      </c>
      <c r="B35" s="66" t="s">
        <v>72</v>
      </c>
      <c r="C35" s="67">
        <f>C36+C37</f>
        <v>16454.04</v>
      </c>
      <c r="D35" s="67">
        <f t="shared" ref="D35:R35" si="13">D36+D37</f>
        <v>2029.16666666667</v>
      </c>
      <c r="E35" s="67">
        <f t="shared" si="13"/>
        <v>18483.2066666667</v>
      </c>
      <c r="F35" s="67">
        <f t="shared" si="2"/>
        <v>24350</v>
      </c>
      <c r="G35" s="67">
        <f t="shared" si="13"/>
        <v>2029.16666666667</v>
      </c>
      <c r="H35" s="67">
        <f t="shared" si="13"/>
        <v>2029.16666666667</v>
      </c>
      <c r="I35" s="67">
        <f t="shared" si="13"/>
        <v>2029.16666666667</v>
      </c>
      <c r="J35" s="67">
        <f t="shared" si="13"/>
        <v>2029.16666666667</v>
      </c>
      <c r="K35" s="67">
        <f t="shared" si="13"/>
        <v>2029.16666666667</v>
      </c>
      <c r="L35" s="67">
        <f t="shared" si="13"/>
        <v>2029.16666666667</v>
      </c>
      <c r="M35" s="67">
        <f t="shared" si="13"/>
        <v>2029.16666666667</v>
      </c>
      <c r="N35" s="67">
        <f t="shared" si="13"/>
        <v>2029.16666666667</v>
      </c>
      <c r="O35" s="67">
        <f t="shared" si="13"/>
        <v>2029.16666666667</v>
      </c>
      <c r="P35" s="67">
        <f t="shared" si="13"/>
        <v>2029.16666666667</v>
      </c>
      <c r="Q35" s="67">
        <f t="shared" si="13"/>
        <v>2029.16666666667</v>
      </c>
      <c r="R35" s="67">
        <f t="shared" si="13"/>
        <v>2029.16666666667</v>
      </c>
      <c r="S35" s="89"/>
      <c r="T35" s="90"/>
      <c r="U35" s="90"/>
      <c r="V35" s="88"/>
    </row>
    <row r="36" s="101" customFormat="1" ht="25.5" customHeight="1" spans="1:22">
      <c r="A36" s="30">
        <v>31</v>
      </c>
      <c r="B36" s="28" t="s">
        <v>74</v>
      </c>
      <c r="C36" s="76"/>
      <c r="D36" s="76"/>
      <c r="E36" s="78">
        <f t="shared" si="1"/>
        <v>0</v>
      </c>
      <c r="F36" s="78">
        <f t="shared" si="2"/>
        <v>0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91" t="s">
        <v>40</v>
      </c>
      <c r="U36" s="91" t="s">
        <v>18</v>
      </c>
      <c r="V36" s="106" t="s">
        <v>73</v>
      </c>
    </row>
    <row r="37" s="101" customFormat="1" ht="25.5" customHeight="1" spans="1:22">
      <c r="A37" s="30">
        <v>32</v>
      </c>
      <c r="B37" s="28" t="s">
        <v>75</v>
      </c>
      <c r="C37" s="108">
        <v>16454.04</v>
      </c>
      <c r="D37" s="109">
        <f>(42500+6200)/24*1</f>
        <v>2029.16666666667</v>
      </c>
      <c r="E37" s="78">
        <f t="shared" si="1"/>
        <v>18483.2066666667</v>
      </c>
      <c r="F37" s="78">
        <f t="shared" si="2"/>
        <v>24350</v>
      </c>
      <c r="G37" s="109">
        <f t="shared" ref="G37:R37" si="14">(42500+6200)/24*1</f>
        <v>2029.16666666667</v>
      </c>
      <c r="H37" s="109">
        <f t="shared" si="14"/>
        <v>2029.16666666667</v>
      </c>
      <c r="I37" s="109">
        <f t="shared" si="14"/>
        <v>2029.16666666667</v>
      </c>
      <c r="J37" s="109">
        <f t="shared" si="14"/>
        <v>2029.16666666667</v>
      </c>
      <c r="K37" s="109">
        <f t="shared" si="14"/>
        <v>2029.16666666667</v>
      </c>
      <c r="L37" s="109">
        <f t="shared" si="14"/>
        <v>2029.16666666667</v>
      </c>
      <c r="M37" s="109">
        <f t="shared" si="14"/>
        <v>2029.16666666667</v>
      </c>
      <c r="N37" s="109">
        <f t="shared" si="14"/>
        <v>2029.16666666667</v>
      </c>
      <c r="O37" s="109">
        <f t="shared" si="14"/>
        <v>2029.16666666667</v>
      </c>
      <c r="P37" s="109">
        <f t="shared" si="14"/>
        <v>2029.16666666667</v>
      </c>
      <c r="Q37" s="109">
        <f t="shared" si="14"/>
        <v>2029.16666666667</v>
      </c>
      <c r="R37" s="109">
        <f t="shared" si="14"/>
        <v>2029.16666666667</v>
      </c>
      <c r="S37" s="77"/>
      <c r="T37" s="91"/>
      <c r="U37" s="91" t="s">
        <v>18</v>
      </c>
      <c r="V37" s="106"/>
    </row>
    <row r="38" s="42" customFormat="1" ht="25.5" customHeight="1" spans="1:22">
      <c r="A38" s="65">
        <v>33</v>
      </c>
      <c r="B38" s="66" t="s">
        <v>76</v>
      </c>
      <c r="C38" s="74">
        <f>C39+C40</f>
        <v>0</v>
      </c>
      <c r="D38" s="74">
        <f t="shared" ref="D38:R38" si="15">D39+D40</f>
        <v>0</v>
      </c>
      <c r="E38" s="74">
        <f t="shared" si="15"/>
        <v>0</v>
      </c>
      <c r="F38" s="67">
        <f t="shared" si="2"/>
        <v>0</v>
      </c>
      <c r="G38" s="74">
        <f t="shared" si="15"/>
        <v>0</v>
      </c>
      <c r="H38" s="74">
        <f t="shared" si="15"/>
        <v>0</v>
      </c>
      <c r="I38" s="74">
        <f t="shared" si="15"/>
        <v>0</v>
      </c>
      <c r="J38" s="74">
        <f t="shared" si="15"/>
        <v>0</v>
      </c>
      <c r="K38" s="74">
        <f t="shared" si="15"/>
        <v>0</v>
      </c>
      <c r="L38" s="74">
        <f t="shared" si="15"/>
        <v>0</v>
      </c>
      <c r="M38" s="74">
        <f t="shared" si="15"/>
        <v>0</v>
      </c>
      <c r="N38" s="74">
        <f t="shared" si="15"/>
        <v>0</v>
      </c>
      <c r="O38" s="74">
        <f t="shared" si="15"/>
        <v>0</v>
      </c>
      <c r="P38" s="74">
        <f t="shared" si="15"/>
        <v>0</v>
      </c>
      <c r="Q38" s="74">
        <f t="shared" si="15"/>
        <v>0</v>
      </c>
      <c r="R38" s="74">
        <f t="shared" si="15"/>
        <v>0</v>
      </c>
      <c r="S38" s="89"/>
      <c r="T38" s="90"/>
      <c r="U38" s="90" t="s">
        <v>18</v>
      </c>
      <c r="V38" s="88"/>
    </row>
    <row r="39" s="101" customFormat="1" ht="25.5" customHeight="1" spans="1:22">
      <c r="A39" s="30">
        <v>34</v>
      </c>
      <c r="B39" s="28" t="s">
        <v>77</v>
      </c>
      <c r="C39" s="76"/>
      <c r="D39" s="76"/>
      <c r="E39" s="78">
        <f t="shared" si="1"/>
        <v>0</v>
      </c>
      <c r="F39" s="78">
        <f t="shared" si="2"/>
        <v>0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91"/>
      <c r="U39" s="91" t="s">
        <v>18</v>
      </c>
      <c r="V39" s="106"/>
    </row>
    <row r="40" s="101" customFormat="1" ht="34.5" customHeight="1" spans="1:22">
      <c r="A40" s="30">
        <v>35</v>
      </c>
      <c r="B40" s="28" t="s">
        <v>78</v>
      </c>
      <c r="C40" s="76"/>
      <c r="D40" s="76"/>
      <c r="E40" s="78">
        <f t="shared" si="1"/>
        <v>0</v>
      </c>
      <c r="F40" s="78">
        <f t="shared" si="2"/>
        <v>0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91"/>
      <c r="U40" s="91" t="s">
        <v>18</v>
      </c>
      <c r="V40" s="106"/>
    </row>
    <row r="41" s="42" customFormat="1" ht="34.5" customHeight="1" spans="1:22">
      <c r="A41" s="65">
        <v>36</v>
      </c>
      <c r="B41" s="66" t="s">
        <v>79</v>
      </c>
      <c r="C41" s="67">
        <f>C42+C43+C44+C45+C46</f>
        <v>12332.3</v>
      </c>
      <c r="D41" s="67">
        <f t="shared" ref="D41:R41" si="16">D42+D43+D44+D45+D46</f>
        <v>502</v>
      </c>
      <c r="E41" s="67">
        <f t="shared" si="16"/>
        <v>12834.3</v>
      </c>
      <c r="F41" s="67">
        <f t="shared" si="2"/>
        <v>0</v>
      </c>
      <c r="G41" s="67">
        <f t="shared" si="16"/>
        <v>0</v>
      </c>
      <c r="H41" s="67">
        <f t="shared" si="16"/>
        <v>0</v>
      </c>
      <c r="I41" s="67">
        <f t="shared" si="16"/>
        <v>0</v>
      </c>
      <c r="J41" s="67">
        <f t="shared" si="16"/>
        <v>0</v>
      </c>
      <c r="K41" s="67">
        <f t="shared" si="16"/>
        <v>0</v>
      </c>
      <c r="L41" s="67">
        <f t="shared" si="16"/>
        <v>0</v>
      </c>
      <c r="M41" s="67">
        <f t="shared" si="16"/>
        <v>0</v>
      </c>
      <c r="N41" s="67">
        <f t="shared" si="16"/>
        <v>0</v>
      </c>
      <c r="O41" s="67">
        <f t="shared" si="16"/>
        <v>0</v>
      </c>
      <c r="P41" s="67">
        <f t="shared" si="16"/>
        <v>0</v>
      </c>
      <c r="Q41" s="67">
        <f t="shared" si="16"/>
        <v>0</v>
      </c>
      <c r="R41" s="67">
        <f t="shared" si="16"/>
        <v>0</v>
      </c>
      <c r="S41" s="89"/>
      <c r="T41" s="90"/>
      <c r="U41" s="90" t="s">
        <v>18</v>
      </c>
      <c r="V41" s="88" t="s">
        <v>80</v>
      </c>
    </row>
    <row r="42" s="101" customFormat="1" ht="34.5" customHeight="1" spans="1:22">
      <c r="A42" s="30">
        <v>37</v>
      </c>
      <c r="B42" s="28" t="s">
        <v>81</v>
      </c>
      <c r="C42" s="68">
        <v>12332.3</v>
      </c>
      <c r="D42" s="102">
        <v>502</v>
      </c>
      <c r="E42" s="67">
        <f t="shared" si="1"/>
        <v>12834.3</v>
      </c>
      <c r="F42" s="67">
        <f t="shared" si="2"/>
        <v>0</v>
      </c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91" t="s">
        <v>40</v>
      </c>
      <c r="U42" s="91" t="s">
        <v>18</v>
      </c>
      <c r="V42" s="106"/>
    </row>
    <row r="43" s="101" customFormat="1" ht="34.5" customHeight="1" spans="1:22">
      <c r="A43" s="30">
        <v>38</v>
      </c>
      <c r="B43" s="28" t="s">
        <v>82</v>
      </c>
      <c r="C43" s="68"/>
      <c r="D43" s="102"/>
      <c r="E43" s="67">
        <f t="shared" si="1"/>
        <v>0</v>
      </c>
      <c r="F43" s="67">
        <f t="shared" si="2"/>
        <v>0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91" t="s">
        <v>40</v>
      </c>
      <c r="U43" s="91" t="s">
        <v>18</v>
      </c>
      <c r="V43" s="106"/>
    </row>
    <row r="44" s="101" customFormat="1" ht="34.5" customHeight="1" spans="1:22">
      <c r="A44" s="30">
        <v>39</v>
      </c>
      <c r="B44" s="28" t="s">
        <v>83</v>
      </c>
      <c r="C44" s="68"/>
      <c r="D44" s="102"/>
      <c r="E44" s="67">
        <f t="shared" si="1"/>
        <v>0</v>
      </c>
      <c r="F44" s="67">
        <f t="shared" si="2"/>
        <v>0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91" t="s">
        <v>40</v>
      </c>
      <c r="U44" s="91" t="s">
        <v>18</v>
      </c>
      <c r="V44" s="106"/>
    </row>
    <row r="45" s="101" customFormat="1" ht="34.5" customHeight="1" spans="1:22">
      <c r="A45" s="30">
        <v>40</v>
      </c>
      <c r="B45" s="28" t="s">
        <v>84</v>
      </c>
      <c r="C45" s="68"/>
      <c r="D45" s="102"/>
      <c r="E45" s="67">
        <f t="shared" si="1"/>
        <v>0</v>
      </c>
      <c r="F45" s="67">
        <f t="shared" si="2"/>
        <v>0</v>
      </c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91" t="s">
        <v>40</v>
      </c>
      <c r="U45" s="91" t="s">
        <v>18</v>
      </c>
      <c r="V45" s="106"/>
    </row>
    <row r="46" s="101" customFormat="1" ht="24.75" customHeight="1" spans="1:22">
      <c r="A46" s="30">
        <v>41</v>
      </c>
      <c r="B46" s="28" t="s">
        <v>85</v>
      </c>
      <c r="C46" s="68"/>
      <c r="D46" s="102"/>
      <c r="E46" s="67">
        <f t="shared" si="1"/>
        <v>0</v>
      </c>
      <c r="F46" s="67">
        <f t="shared" si="2"/>
        <v>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91" t="s">
        <v>35</v>
      </c>
      <c r="U46" s="91" t="s">
        <v>18</v>
      </c>
      <c r="V46" s="106"/>
    </row>
    <row r="47" ht="20.25" customHeight="1" spans="1:22">
      <c r="A47" s="18">
        <v>42</v>
      </c>
      <c r="B47" s="19" t="s">
        <v>86</v>
      </c>
      <c r="C47" s="68">
        <v>510</v>
      </c>
      <c r="D47" s="102"/>
      <c r="E47" s="67">
        <f t="shared" si="1"/>
        <v>510</v>
      </c>
      <c r="F47" s="67">
        <f t="shared" si="2"/>
        <v>600</v>
      </c>
      <c r="G47" s="68">
        <v>50</v>
      </c>
      <c r="H47" s="68">
        <v>50</v>
      </c>
      <c r="I47" s="68">
        <v>50</v>
      </c>
      <c r="J47" s="68">
        <v>50</v>
      </c>
      <c r="K47" s="68">
        <v>50</v>
      </c>
      <c r="L47" s="68">
        <v>50</v>
      </c>
      <c r="M47" s="68">
        <v>50</v>
      </c>
      <c r="N47" s="68">
        <v>50</v>
      </c>
      <c r="O47" s="68">
        <v>50</v>
      </c>
      <c r="P47" s="68">
        <v>50</v>
      </c>
      <c r="Q47" s="68">
        <v>50</v>
      </c>
      <c r="R47" s="68">
        <v>50</v>
      </c>
      <c r="S47" s="68"/>
      <c r="T47" s="93" t="s">
        <v>40</v>
      </c>
      <c r="U47" s="91" t="s">
        <v>18</v>
      </c>
      <c r="V47" s="92" t="s">
        <v>80</v>
      </c>
    </row>
    <row r="48" ht="24" customHeight="1" spans="1:22">
      <c r="A48" s="18">
        <v>43</v>
      </c>
      <c r="B48" s="19" t="s">
        <v>87</v>
      </c>
      <c r="C48" s="68"/>
      <c r="D48" s="102"/>
      <c r="E48" s="67">
        <f t="shared" si="1"/>
        <v>0</v>
      </c>
      <c r="F48" s="67">
        <f t="shared" si="2"/>
        <v>0</v>
      </c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93" t="s">
        <v>40</v>
      </c>
      <c r="U48" s="91" t="s">
        <v>18</v>
      </c>
      <c r="V48" s="92" t="s">
        <v>80</v>
      </c>
    </row>
    <row r="49" ht="23.25" customHeight="1" spans="1:22">
      <c r="A49" s="18">
        <v>44</v>
      </c>
      <c r="B49" s="19" t="s">
        <v>88</v>
      </c>
      <c r="C49" s="68">
        <v>1650</v>
      </c>
      <c r="D49" s="102"/>
      <c r="E49" s="67">
        <f t="shared" si="1"/>
        <v>1650</v>
      </c>
      <c r="F49" s="67">
        <f t="shared" si="2"/>
        <v>1800</v>
      </c>
      <c r="G49" s="68">
        <v>150</v>
      </c>
      <c r="H49" s="68">
        <v>150</v>
      </c>
      <c r="I49" s="68">
        <v>150</v>
      </c>
      <c r="J49" s="68">
        <v>150</v>
      </c>
      <c r="K49" s="68">
        <v>150</v>
      </c>
      <c r="L49" s="68">
        <v>150</v>
      </c>
      <c r="M49" s="68">
        <v>150</v>
      </c>
      <c r="N49" s="68">
        <v>150</v>
      </c>
      <c r="O49" s="68">
        <v>150</v>
      </c>
      <c r="P49" s="68">
        <v>150</v>
      </c>
      <c r="Q49" s="68">
        <v>150</v>
      </c>
      <c r="R49" s="68">
        <v>150</v>
      </c>
      <c r="S49" s="68"/>
      <c r="T49" s="93" t="s">
        <v>40</v>
      </c>
      <c r="U49" s="91" t="s">
        <v>18</v>
      </c>
      <c r="V49" s="92" t="s">
        <v>80</v>
      </c>
    </row>
    <row r="50" ht="23.25" customHeight="1" spans="1:22">
      <c r="A50" s="18">
        <v>45</v>
      </c>
      <c r="B50" s="19" t="s">
        <v>89</v>
      </c>
      <c r="C50" s="68">
        <v>0</v>
      </c>
      <c r="D50" s="102"/>
      <c r="E50" s="67">
        <f t="shared" si="1"/>
        <v>0</v>
      </c>
      <c r="F50" s="67">
        <f t="shared" si="2"/>
        <v>0</v>
      </c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93" t="s">
        <v>40</v>
      </c>
      <c r="U50" s="91" t="s">
        <v>18</v>
      </c>
      <c r="V50" s="92" t="s">
        <v>80</v>
      </c>
    </row>
    <row r="51" ht="23.25" customHeight="1" spans="1:22">
      <c r="A51" s="18">
        <v>46</v>
      </c>
      <c r="B51" s="19" t="s">
        <v>90</v>
      </c>
      <c r="C51" s="68">
        <v>6590</v>
      </c>
      <c r="D51" s="102">
        <v>0</v>
      </c>
      <c r="E51" s="67">
        <f t="shared" si="1"/>
        <v>6590</v>
      </c>
      <c r="F51" s="67">
        <f t="shared" si="2"/>
        <v>800</v>
      </c>
      <c r="G51" s="68"/>
      <c r="H51" s="68"/>
      <c r="I51" s="68"/>
      <c r="J51" s="68">
        <v>800</v>
      </c>
      <c r="K51" s="68"/>
      <c r="L51" s="68"/>
      <c r="M51" s="68"/>
      <c r="N51" s="68"/>
      <c r="O51" s="68"/>
      <c r="P51" s="68"/>
      <c r="Q51" s="68"/>
      <c r="R51" s="68"/>
      <c r="S51" s="69"/>
      <c r="T51" s="93" t="s">
        <v>91</v>
      </c>
      <c r="U51" s="91" t="s">
        <v>18</v>
      </c>
      <c r="V51" s="92" t="s">
        <v>92</v>
      </c>
    </row>
    <row r="52" s="43" customFormat="1" ht="23.25" customHeight="1" spans="1:22">
      <c r="A52" s="18">
        <v>47</v>
      </c>
      <c r="B52" s="19" t="s">
        <v>93</v>
      </c>
      <c r="C52" s="68">
        <v>233688.52</v>
      </c>
      <c r="D52" s="102">
        <v>10691.15</v>
      </c>
      <c r="E52" s="67">
        <f t="shared" si="1"/>
        <v>244379.67</v>
      </c>
      <c r="F52" s="67">
        <f t="shared" si="2"/>
        <v>0</v>
      </c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9"/>
      <c r="T52" s="93"/>
      <c r="U52" s="91" t="s">
        <v>18</v>
      </c>
      <c r="V52" s="92" t="s">
        <v>51</v>
      </c>
    </row>
    <row r="53" s="42" customFormat="1" ht="23.25" customHeight="1" spans="1:22">
      <c r="A53" s="65">
        <v>48</v>
      </c>
      <c r="B53" s="66" t="s">
        <v>94</v>
      </c>
      <c r="C53" s="67">
        <f>C54+C55+C56</f>
        <v>0</v>
      </c>
      <c r="D53" s="67">
        <f t="shared" ref="D53:R53" si="17">D54+D55+D56</f>
        <v>0</v>
      </c>
      <c r="E53" s="67">
        <f t="shared" si="17"/>
        <v>0</v>
      </c>
      <c r="F53" s="67">
        <f t="shared" si="2"/>
        <v>0</v>
      </c>
      <c r="G53" s="67">
        <f t="shared" si="17"/>
        <v>0</v>
      </c>
      <c r="H53" s="67">
        <f t="shared" si="17"/>
        <v>0</v>
      </c>
      <c r="I53" s="67">
        <f t="shared" si="17"/>
        <v>0</v>
      </c>
      <c r="J53" s="67">
        <f t="shared" si="17"/>
        <v>0</v>
      </c>
      <c r="K53" s="67">
        <f t="shared" si="17"/>
        <v>0</v>
      </c>
      <c r="L53" s="67">
        <f t="shared" si="17"/>
        <v>0</v>
      </c>
      <c r="M53" s="67">
        <f t="shared" si="17"/>
        <v>0</v>
      </c>
      <c r="N53" s="67">
        <f t="shared" si="17"/>
        <v>0</v>
      </c>
      <c r="O53" s="67">
        <f t="shared" si="17"/>
        <v>0</v>
      </c>
      <c r="P53" s="67">
        <f t="shared" si="17"/>
        <v>0</v>
      </c>
      <c r="Q53" s="67">
        <f t="shared" si="17"/>
        <v>0</v>
      </c>
      <c r="R53" s="67">
        <f t="shared" si="17"/>
        <v>0</v>
      </c>
      <c r="S53" s="89"/>
      <c r="T53" s="90"/>
      <c r="U53" s="90" t="s">
        <v>18</v>
      </c>
      <c r="V53" s="88" t="s">
        <v>95</v>
      </c>
    </row>
    <row r="54" ht="23.25" customHeight="1" spans="1:22">
      <c r="A54" s="18">
        <v>49</v>
      </c>
      <c r="B54" s="19" t="s">
        <v>96</v>
      </c>
      <c r="C54" s="70"/>
      <c r="D54" s="70"/>
      <c r="E54" s="67">
        <f t="shared" si="1"/>
        <v>0</v>
      </c>
      <c r="F54" s="67">
        <f t="shared" si="2"/>
        <v>0</v>
      </c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91" t="s">
        <v>17</v>
      </c>
      <c r="U54" s="91" t="s">
        <v>18</v>
      </c>
      <c r="V54" s="92" t="s">
        <v>51</v>
      </c>
    </row>
    <row r="55" ht="23.25" customHeight="1" spans="1:22">
      <c r="A55" s="18">
        <v>50</v>
      </c>
      <c r="B55" s="19" t="s">
        <v>97</v>
      </c>
      <c r="C55" s="70"/>
      <c r="D55" s="70"/>
      <c r="E55" s="67">
        <f t="shared" si="1"/>
        <v>0</v>
      </c>
      <c r="F55" s="67">
        <f t="shared" si="2"/>
        <v>0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91" t="s">
        <v>17</v>
      </c>
      <c r="U55" s="91" t="s">
        <v>18</v>
      </c>
      <c r="V55" s="92" t="s">
        <v>51</v>
      </c>
    </row>
    <row r="56" s="43" customFormat="1" ht="23.25" customHeight="1" spans="1:22">
      <c r="A56" s="18">
        <v>51</v>
      </c>
      <c r="B56" s="19" t="s">
        <v>98</v>
      </c>
      <c r="C56" s="70"/>
      <c r="D56" s="70"/>
      <c r="E56" s="67">
        <f t="shared" si="1"/>
        <v>0</v>
      </c>
      <c r="F56" s="67">
        <f t="shared" si="2"/>
        <v>0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97"/>
      <c r="T56" s="91" t="s">
        <v>17</v>
      </c>
      <c r="U56" s="91" t="s">
        <v>18</v>
      </c>
      <c r="V56" s="92" t="s">
        <v>51</v>
      </c>
    </row>
    <row r="57" s="42" customFormat="1" ht="23.25" customHeight="1" spans="1:22">
      <c r="A57" s="65">
        <v>52</v>
      </c>
      <c r="B57" s="66" t="s">
        <v>99</v>
      </c>
      <c r="C57" s="72">
        <f>C29-C30-C53</f>
        <v>905481.290497088</v>
      </c>
      <c r="D57" s="72">
        <f t="shared" ref="D57:R57" si="18">D29-D30-D53</f>
        <v>89631.8766886731</v>
      </c>
      <c r="E57" s="72">
        <f t="shared" si="18"/>
        <v>995113.167185761</v>
      </c>
      <c r="F57" s="72">
        <f t="shared" si="2"/>
        <v>965205.678100971</v>
      </c>
      <c r="G57" s="72">
        <f t="shared" si="18"/>
        <v>92983.6231750809</v>
      </c>
      <c r="H57" s="72">
        <f t="shared" si="18"/>
        <v>81323.6231750809</v>
      </c>
      <c r="I57" s="72">
        <f t="shared" si="18"/>
        <v>80683.6231750809</v>
      </c>
      <c r="J57" s="72">
        <f t="shared" si="18"/>
        <v>79803.6231750809</v>
      </c>
      <c r="K57" s="72">
        <f t="shared" si="18"/>
        <v>80656.3981750809</v>
      </c>
      <c r="L57" s="72">
        <f t="shared" si="18"/>
        <v>78256.3981750809</v>
      </c>
      <c r="M57" s="72">
        <f t="shared" si="18"/>
        <v>80656.3981750809</v>
      </c>
      <c r="N57" s="72">
        <f t="shared" si="18"/>
        <v>80856.3981750809</v>
      </c>
      <c r="O57" s="72">
        <f t="shared" si="18"/>
        <v>70856.3981750809</v>
      </c>
      <c r="P57" s="72">
        <f t="shared" si="18"/>
        <v>79616.3981750809</v>
      </c>
      <c r="Q57" s="72">
        <f t="shared" si="18"/>
        <v>80056.3981750809</v>
      </c>
      <c r="R57" s="72">
        <f t="shared" si="18"/>
        <v>79456.3981750809</v>
      </c>
      <c r="S57" s="89"/>
      <c r="T57" s="90"/>
      <c r="U57" s="90" t="s">
        <v>18</v>
      </c>
      <c r="V57" s="88"/>
    </row>
    <row r="58" s="43" customFormat="1" ht="23.25" customHeight="1" spans="1:22">
      <c r="A58" s="18">
        <v>53</v>
      </c>
      <c r="B58" s="16" t="s">
        <v>100</v>
      </c>
      <c r="C58" s="80"/>
      <c r="D58" s="80"/>
      <c r="E58" s="67">
        <f t="shared" si="1"/>
        <v>0</v>
      </c>
      <c r="F58" s="67">
        <f t="shared" si="2"/>
        <v>0</v>
      </c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98"/>
      <c r="S58" s="81"/>
      <c r="T58" s="99"/>
      <c r="U58" s="99" t="s">
        <v>18</v>
      </c>
      <c r="V58" s="100" t="s">
        <v>51</v>
      </c>
    </row>
    <row r="59" s="43" customFormat="1" ht="23.25" customHeight="1" spans="1:22">
      <c r="A59" s="18">
        <v>54</v>
      </c>
      <c r="B59" s="16" t="s">
        <v>101</v>
      </c>
      <c r="C59" s="80"/>
      <c r="D59" s="80"/>
      <c r="E59" s="67">
        <f t="shared" si="1"/>
        <v>0</v>
      </c>
      <c r="F59" s="67">
        <f t="shared" si="2"/>
        <v>0</v>
      </c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98"/>
      <c r="S59" s="81"/>
      <c r="T59" s="99"/>
      <c r="U59" s="99" t="s">
        <v>18</v>
      </c>
      <c r="V59" s="100" t="s">
        <v>51</v>
      </c>
    </row>
    <row r="60" s="43" customFormat="1" ht="23.25" customHeight="1" spans="1:22">
      <c r="A60" s="18">
        <v>55</v>
      </c>
      <c r="B60" s="16" t="s">
        <v>102</v>
      </c>
      <c r="C60" s="80"/>
      <c r="D60" s="80"/>
      <c r="E60" s="67">
        <f t="shared" si="1"/>
        <v>0</v>
      </c>
      <c r="F60" s="67">
        <f t="shared" si="2"/>
        <v>0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98"/>
      <c r="S60" s="81"/>
      <c r="T60" s="99"/>
      <c r="U60" s="99" t="s">
        <v>18</v>
      </c>
      <c r="V60" s="100" t="s">
        <v>51</v>
      </c>
    </row>
    <row r="61" s="43" customFormat="1" ht="23.25" customHeight="1" spans="1:22">
      <c r="A61" s="18">
        <v>56</v>
      </c>
      <c r="B61" s="16" t="s">
        <v>103</v>
      </c>
      <c r="C61" s="80"/>
      <c r="D61" s="80"/>
      <c r="E61" s="67">
        <f t="shared" si="1"/>
        <v>0</v>
      </c>
      <c r="F61" s="67">
        <f t="shared" si="2"/>
        <v>0</v>
      </c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98"/>
      <c r="S61" s="81"/>
      <c r="T61" s="99"/>
      <c r="U61" s="99" t="s">
        <v>18</v>
      </c>
      <c r="V61" s="100" t="s">
        <v>51</v>
      </c>
    </row>
    <row r="62" s="42" customFormat="1" ht="23.25" customHeight="1" spans="1:22">
      <c r="A62" s="65">
        <v>57</v>
      </c>
      <c r="B62" s="66" t="s">
        <v>104</v>
      </c>
      <c r="C62" s="72">
        <f>C57+C58-C59+C60-C61</f>
        <v>905481.290497088</v>
      </c>
      <c r="D62" s="72">
        <f t="shared" ref="D62:R62" si="19">D57+D58-D59+D60-D61</f>
        <v>89631.8766886731</v>
      </c>
      <c r="E62" s="72">
        <f t="shared" si="19"/>
        <v>995113.167185761</v>
      </c>
      <c r="F62" s="72">
        <f t="shared" si="2"/>
        <v>965205.678100971</v>
      </c>
      <c r="G62" s="72">
        <f t="shared" si="19"/>
        <v>92983.6231750809</v>
      </c>
      <c r="H62" s="72">
        <f t="shared" si="19"/>
        <v>81323.6231750809</v>
      </c>
      <c r="I62" s="72">
        <f t="shared" si="19"/>
        <v>80683.6231750809</v>
      </c>
      <c r="J62" s="72">
        <f t="shared" si="19"/>
        <v>79803.6231750809</v>
      </c>
      <c r="K62" s="72">
        <f t="shared" si="19"/>
        <v>80656.3981750809</v>
      </c>
      <c r="L62" s="72">
        <f t="shared" si="19"/>
        <v>78256.3981750809</v>
      </c>
      <c r="M62" s="72">
        <f t="shared" si="19"/>
        <v>80656.3981750809</v>
      </c>
      <c r="N62" s="72">
        <f t="shared" si="19"/>
        <v>80856.3981750809</v>
      </c>
      <c r="O62" s="72">
        <f t="shared" si="19"/>
        <v>70856.3981750809</v>
      </c>
      <c r="P62" s="72">
        <f t="shared" si="19"/>
        <v>79616.3981750809</v>
      </c>
      <c r="Q62" s="72">
        <f t="shared" si="19"/>
        <v>80056.3981750809</v>
      </c>
      <c r="R62" s="72">
        <f t="shared" si="19"/>
        <v>79456.3981750809</v>
      </c>
      <c r="S62" s="89"/>
      <c r="T62" s="90"/>
      <c r="U62" s="90"/>
      <c r="V62" s="88"/>
    </row>
    <row r="63" s="42" customFormat="1" ht="23.25" customHeight="1" spans="1:22">
      <c r="A63" s="65">
        <v>58</v>
      </c>
      <c r="B63" s="82" t="s">
        <v>105</v>
      </c>
      <c r="C63" s="72">
        <f>C62*0.25</f>
        <v>226370.322624272</v>
      </c>
      <c r="D63" s="72">
        <f t="shared" ref="D63:R63" si="20">D62*0.25</f>
        <v>22407.9691721683</v>
      </c>
      <c r="E63" s="72">
        <f t="shared" si="20"/>
        <v>248778.29179644</v>
      </c>
      <c r="F63" s="72">
        <f t="shared" si="2"/>
        <v>241301.419525243</v>
      </c>
      <c r="G63" s="72">
        <f t="shared" si="20"/>
        <v>23245.9057937702</v>
      </c>
      <c r="H63" s="72">
        <f t="shared" si="20"/>
        <v>20330.9057937702</v>
      </c>
      <c r="I63" s="72">
        <f t="shared" si="20"/>
        <v>20170.9057937702</v>
      </c>
      <c r="J63" s="72">
        <f t="shared" si="20"/>
        <v>19950.9057937702</v>
      </c>
      <c r="K63" s="72">
        <f t="shared" si="20"/>
        <v>20164.0995437702</v>
      </c>
      <c r="L63" s="72">
        <f t="shared" si="20"/>
        <v>19564.0995437702</v>
      </c>
      <c r="M63" s="72">
        <f t="shared" si="20"/>
        <v>20164.0995437702</v>
      </c>
      <c r="N63" s="72">
        <f t="shared" si="20"/>
        <v>20214.0995437702</v>
      </c>
      <c r="O63" s="72">
        <f t="shared" si="20"/>
        <v>17714.0995437702</v>
      </c>
      <c r="P63" s="72">
        <f t="shared" si="20"/>
        <v>19904.0995437702</v>
      </c>
      <c r="Q63" s="72">
        <f t="shared" si="20"/>
        <v>20014.0995437702</v>
      </c>
      <c r="R63" s="72">
        <f t="shared" si="20"/>
        <v>19864.0995437702</v>
      </c>
      <c r="S63" s="89"/>
      <c r="T63" s="90"/>
      <c r="U63" s="90"/>
      <c r="V63" s="88"/>
    </row>
    <row r="64" s="42" customFormat="1" ht="23.25" customHeight="1" spans="1:22">
      <c r="A64" s="65">
        <v>59</v>
      </c>
      <c r="B64" s="66" t="s">
        <v>106</v>
      </c>
      <c r="C64" s="72">
        <f>C62-C63</f>
        <v>679110.967872816</v>
      </c>
      <c r="D64" s="72">
        <f t="shared" ref="D64:R64" si="21">D62-D63</f>
        <v>67223.9075165049</v>
      </c>
      <c r="E64" s="72">
        <f t="shared" si="21"/>
        <v>746334.875389321</v>
      </c>
      <c r="F64" s="72">
        <f t="shared" si="2"/>
        <v>723904.258575728</v>
      </c>
      <c r="G64" s="72">
        <f t="shared" si="21"/>
        <v>69737.7173813107</v>
      </c>
      <c r="H64" s="72">
        <f t="shared" si="21"/>
        <v>60992.7173813107</v>
      </c>
      <c r="I64" s="72">
        <f t="shared" si="21"/>
        <v>60512.7173813107</v>
      </c>
      <c r="J64" s="72">
        <f t="shared" si="21"/>
        <v>59852.7173813107</v>
      </c>
      <c r="K64" s="72">
        <f t="shared" si="21"/>
        <v>60492.2986313107</v>
      </c>
      <c r="L64" s="72">
        <f t="shared" si="21"/>
        <v>58692.2986313107</v>
      </c>
      <c r="M64" s="72">
        <f t="shared" si="21"/>
        <v>60492.2986313107</v>
      </c>
      <c r="N64" s="72">
        <f t="shared" si="21"/>
        <v>60642.2986313107</v>
      </c>
      <c r="O64" s="72">
        <f t="shared" si="21"/>
        <v>53142.2986313107</v>
      </c>
      <c r="P64" s="72">
        <f t="shared" si="21"/>
        <v>59712.2986313107</v>
      </c>
      <c r="Q64" s="72">
        <f t="shared" si="21"/>
        <v>60042.2986313107</v>
      </c>
      <c r="R64" s="72">
        <f t="shared" si="21"/>
        <v>59592.2986313107</v>
      </c>
      <c r="S64" s="89"/>
      <c r="T64" s="90"/>
      <c r="U64" s="90"/>
      <c r="V64" s="88"/>
    </row>
  </sheetData>
  <mergeCells count="6">
    <mergeCell ref="A1:P1"/>
    <mergeCell ref="A2:R2"/>
    <mergeCell ref="A3:A5"/>
    <mergeCell ref="B3:B5"/>
    <mergeCell ref="C3:E4"/>
    <mergeCell ref="F3:V4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V64"/>
  <sheetViews>
    <sheetView topLeftCell="A19" workbookViewId="0">
      <selection activeCell="H32" sqref="H32"/>
    </sheetView>
  </sheetViews>
  <sheetFormatPr defaultColWidth="9" defaultRowHeight="13.5"/>
  <cols>
    <col min="1" max="1" width="6.125" style="44" customWidth="1"/>
    <col min="2" max="2" width="44.5" style="45" customWidth="1"/>
    <col min="3" max="3" width="19.875" style="44" customWidth="1"/>
    <col min="4" max="4" width="15" style="44" customWidth="1"/>
    <col min="5" max="5" width="10.5" style="42" customWidth="1"/>
    <col min="6" max="6" width="11.125" style="42" customWidth="1"/>
    <col min="7" max="8" width="10.25" style="44" customWidth="1"/>
    <col min="9" max="19" width="11.625" style="44" customWidth="1"/>
    <col min="20" max="20" width="18.5" style="46" customWidth="1"/>
    <col min="21" max="21" width="13.625" style="46" customWidth="1"/>
    <col min="22" max="22" width="98.375" style="45" customWidth="1"/>
    <col min="23" max="16384" width="9" style="44"/>
  </cols>
  <sheetData>
    <row r="1" ht="25.5" spans="1:16">
      <c r="A1" s="47" t="s">
        <v>0</v>
      </c>
      <c r="B1" s="47"/>
      <c r="C1" s="47"/>
      <c r="D1" s="47"/>
      <c r="E1" s="48"/>
      <c r="F1" s="48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="40" customFormat="1" ht="20.25" spans="1:22">
      <c r="A2" s="49" t="s">
        <v>121</v>
      </c>
      <c r="B2" s="49"/>
      <c r="C2" s="49"/>
      <c r="D2" s="49"/>
      <c r="E2" s="50"/>
      <c r="F2" s="51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84"/>
      <c r="U2" s="84"/>
      <c r="V2" s="85"/>
    </row>
    <row r="3" s="41" customFormat="1" ht="23.25" customHeight="1" spans="1:22">
      <c r="A3" s="6" t="s">
        <v>2</v>
      </c>
      <c r="B3" s="7" t="s">
        <v>3</v>
      </c>
      <c r="C3" s="53" t="s">
        <v>4</v>
      </c>
      <c r="D3" s="54"/>
      <c r="E3" s="55"/>
      <c r="F3" s="56" t="s">
        <v>5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86"/>
    </row>
    <row r="4" s="41" customFormat="1" ht="31.5" customHeight="1" spans="1:22">
      <c r="A4" s="9"/>
      <c r="B4" s="10"/>
      <c r="C4" s="14"/>
      <c r="D4" s="58"/>
      <c r="E4" s="59"/>
      <c r="F4" s="60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87"/>
    </row>
    <row r="5" s="42" customFormat="1" ht="26.25" customHeight="1" spans="1:22">
      <c r="A5" s="12"/>
      <c r="B5" s="13"/>
      <c r="C5" s="62" t="s">
        <v>6</v>
      </c>
      <c r="D5" s="62" t="s">
        <v>113</v>
      </c>
      <c r="E5" s="62" t="s">
        <v>8</v>
      </c>
      <c r="F5" s="63" t="s">
        <v>9</v>
      </c>
      <c r="G5" s="64">
        <v>43101</v>
      </c>
      <c r="H5" s="64">
        <v>43132</v>
      </c>
      <c r="I5" s="64">
        <v>43160</v>
      </c>
      <c r="J5" s="64">
        <v>43191</v>
      </c>
      <c r="K5" s="64">
        <v>43221</v>
      </c>
      <c r="L5" s="64">
        <v>43252</v>
      </c>
      <c r="M5" s="64">
        <v>43282</v>
      </c>
      <c r="N5" s="64">
        <v>43313</v>
      </c>
      <c r="O5" s="64">
        <v>43344</v>
      </c>
      <c r="P5" s="64">
        <v>43374</v>
      </c>
      <c r="Q5" s="64">
        <v>43405</v>
      </c>
      <c r="R5" s="64">
        <v>43435</v>
      </c>
      <c r="S5" s="63" t="s">
        <v>10</v>
      </c>
      <c r="T5" s="63" t="s">
        <v>11</v>
      </c>
      <c r="U5" s="63" t="s">
        <v>12</v>
      </c>
      <c r="V5" s="88" t="s">
        <v>13</v>
      </c>
    </row>
    <row r="6" s="42" customFormat="1" ht="25.5" customHeight="1" spans="1:22">
      <c r="A6" s="65">
        <v>1</v>
      </c>
      <c r="B6" s="66" t="s">
        <v>14</v>
      </c>
      <c r="C6" s="67">
        <f>C7+C8+C9+C10+C11+C12+C13</f>
        <v>660887.55</v>
      </c>
      <c r="D6" s="67">
        <f t="shared" ref="D6:R6" si="0">D7+D8+D9+D10+D11+D12+D13</f>
        <v>59435.69</v>
      </c>
      <c r="E6" s="67">
        <f>C6+D6</f>
        <v>720323.24</v>
      </c>
      <c r="F6" s="67">
        <f t="shared" si="0"/>
        <v>713228.28</v>
      </c>
      <c r="G6" s="67">
        <f t="shared" si="0"/>
        <v>59435.69</v>
      </c>
      <c r="H6" s="67">
        <f t="shared" si="0"/>
        <v>59435.69</v>
      </c>
      <c r="I6" s="67">
        <f t="shared" si="0"/>
        <v>59435.69</v>
      </c>
      <c r="J6" s="67">
        <f t="shared" si="0"/>
        <v>59435.69</v>
      </c>
      <c r="K6" s="67">
        <f t="shared" si="0"/>
        <v>59435.69</v>
      </c>
      <c r="L6" s="67">
        <f t="shared" si="0"/>
        <v>59435.69</v>
      </c>
      <c r="M6" s="67">
        <f t="shared" si="0"/>
        <v>59435.69</v>
      </c>
      <c r="N6" s="67">
        <f t="shared" si="0"/>
        <v>59435.69</v>
      </c>
      <c r="O6" s="67">
        <f t="shared" si="0"/>
        <v>59435.69</v>
      </c>
      <c r="P6" s="67">
        <f t="shared" si="0"/>
        <v>59435.69</v>
      </c>
      <c r="Q6" s="67">
        <f t="shared" si="0"/>
        <v>59435.69</v>
      </c>
      <c r="R6" s="67">
        <f t="shared" si="0"/>
        <v>59435.69</v>
      </c>
      <c r="S6" s="89"/>
      <c r="T6" s="90"/>
      <c r="U6" s="90"/>
      <c r="V6" s="88" t="s">
        <v>15</v>
      </c>
    </row>
    <row r="7" ht="26.25" customHeight="1" spans="1:22">
      <c r="A7" s="18">
        <v>2</v>
      </c>
      <c r="B7" s="19" t="s">
        <v>16</v>
      </c>
      <c r="C7" s="68">
        <v>653792.55</v>
      </c>
      <c r="D7" s="102">
        <v>59435.69</v>
      </c>
      <c r="E7" s="67">
        <f t="shared" ref="E7:E61" si="1">C7+D7</f>
        <v>713228.24</v>
      </c>
      <c r="F7" s="67">
        <f>SUM(G7:R7)</f>
        <v>713228.28</v>
      </c>
      <c r="G7" s="68">
        <v>59435.69</v>
      </c>
      <c r="H7" s="68">
        <v>59435.69</v>
      </c>
      <c r="I7" s="68">
        <v>59435.69</v>
      </c>
      <c r="J7" s="68">
        <v>59435.69</v>
      </c>
      <c r="K7" s="68">
        <v>59435.69</v>
      </c>
      <c r="L7" s="68">
        <v>59435.69</v>
      </c>
      <c r="M7" s="68">
        <v>59435.69</v>
      </c>
      <c r="N7" s="68">
        <v>59435.69</v>
      </c>
      <c r="O7" s="68">
        <v>59435.69</v>
      </c>
      <c r="P7" s="68">
        <v>59435.69</v>
      </c>
      <c r="Q7" s="68">
        <v>59435.69</v>
      </c>
      <c r="R7" s="68">
        <v>59435.69</v>
      </c>
      <c r="S7" s="69"/>
      <c r="T7" s="91" t="s">
        <v>17</v>
      </c>
      <c r="U7" s="91" t="s">
        <v>18</v>
      </c>
      <c r="V7" s="92" t="s">
        <v>114</v>
      </c>
    </row>
    <row r="8" ht="26.25" customHeight="1" spans="1:22">
      <c r="A8" s="18">
        <v>3</v>
      </c>
      <c r="B8" s="19" t="s">
        <v>20</v>
      </c>
      <c r="C8" s="68">
        <v>7095</v>
      </c>
      <c r="D8" s="102"/>
      <c r="E8" s="67">
        <f t="shared" si="1"/>
        <v>7095</v>
      </c>
      <c r="F8" s="67">
        <f t="shared" ref="F8:F64" si="2">SUM(G8:R8)</f>
        <v>0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91" t="s">
        <v>17</v>
      </c>
      <c r="U8" s="91" t="s">
        <v>18</v>
      </c>
      <c r="V8" s="92" t="s">
        <v>115</v>
      </c>
    </row>
    <row r="9" ht="26.25" customHeight="1" spans="1:22">
      <c r="A9" s="18">
        <v>4</v>
      </c>
      <c r="B9" s="19" t="s">
        <v>22</v>
      </c>
      <c r="C9" s="68"/>
      <c r="D9" s="102"/>
      <c r="E9" s="67">
        <f t="shared" si="1"/>
        <v>0</v>
      </c>
      <c r="F9" s="67">
        <f t="shared" si="2"/>
        <v>0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91" t="s">
        <v>17</v>
      </c>
      <c r="U9" s="91" t="s">
        <v>18</v>
      </c>
      <c r="V9" s="92" t="s">
        <v>23</v>
      </c>
    </row>
    <row r="10" ht="30.75" customHeight="1" spans="1:22">
      <c r="A10" s="18">
        <v>5</v>
      </c>
      <c r="B10" s="19" t="s">
        <v>24</v>
      </c>
      <c r="C10" s="68"/>
      <c r="D10" s="102"/>
      <c r="E10" s="67">
        <f t="shared" si="1"/>
        <v>0</v>
      </c>
      <c r="F10" s="67">
        <f t="shared" si="2"/>
        <v>0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91" t="s">
        <v>17</v>
      </c>
      <c r="U10" s="91" t="s">
        <v>18</v>
      </c>
      <c r="V10" s="92" t="s">
        <v>25</v>
      </c>
    </row>
    <row r="11" ht="30" customHeight="1" spans="1:22">
      <c r="A11" s="18">
        <v>6</v>
      </c>
      <c r="B11" s="19" t="s">
        <v>26</v>
      </c>
      <c r="C11" s="68"/>
      <c r="D11" s="102"/>
      <c r="E11" s="67">
        <f t="shared" si="1"/>
        <v>0</v>
      </c>
      <c r="F11" s="67">
        <f t="shared" si="2"/>
        <v>0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91" t="s">
        <v>17</v>
      </c>
      <c r="U11" s="91" t="s">
        <v>18</v>
      </c>
      <c r="V11" s="92" t="s">
        <v>27</v>
      </c>
    </row>
    <row r="12" ht="23.25" customHeight="1" spans="1:22">
      <c r="A12" s="18">
        <v>7</v>
      </c>
      <c r="B12" s="19" t="s">
        <v>28</v>
      </c>
      <c r="C12" s="68"/>
      <c r="D12" s="102"/>
      <c r="E12" s="67">
        <f t="shared" si="1"/>
        <v>0</v>
      </c>
      <c r="F12" s="67">
        <f t="shared" si="2"/>
        <v>0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91" t="s">
        <v>17</v>
      </c>
      <c r="U12" s="91" t="s">
        <v>18</v>
      </c>
      <c r="V12" s="92" t="s">
        <v>29</v>
      </c>
    </row>
    <row r="13" s="43" customFormat="1" ht="23.25" customHeight="1" spans="1:22">
      <c r="A13" s="18">
        <v>8</v>
      </c>
      <c r="B13" s="19" t="s">
        <v>30</v>
      </c>
      <c r="C13" s="68"/>
      <c r="D13" s="102"/>
      <c r="E13" s="67">
        <f t="shared" si="1"/>
        <v>0</v>
      </c>
      <c r="F13" s="67">
        <f t="shared" si="2"/>
        <v>0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91" t="s">
        <v>17</v>
      </c>
      <c r="U13" s="91" t="s">
        <v>18</v>
      </c>
      <c r="V13" s="92" t="s">
        <v>31</v>
      </c>
    </row>
    <row r="14" s="42" customFormat="1" ht="28.5" customHeight="1" spans="1:22">
      <c r="A14" s="65">
        <v>9</v>
      </c>
      <c r="B14" s="66" t="s">
        <v>32</v>
      </c>
      <c r="C14" s="67">
        <f>C15+C16+C17+C18+C19+C20+C21+C22</f>
        <v>400305.02</v>
      </c>
      <c r="D14" s="67">
        <f t="shared" ref="D14:R14" si="3">D15+D16+D17+D18+D19+D20+D21+D22</f>
        <v>37378</v>
      </c>
      <c r="E14" s="67">
        <f t="shared" si="3"/>
        <v>437683.02</v>
      </c>
      <c r="F14" s="67">
        <f t="shared" si="2"/>
        <v>412490</v>
      </c>
      <c r="G14" s="67">
        <f t="shared" si="3"/>
        <v>30081</v>
      </c>
      <c r="H14" s="67">
        <f t="shared" si="3"/>
        <v>33081</v>
      </c>
      <c r="I14" s="67">
        <f t="shared" si="3"/>
        <v>34501</v>
      </c>
      <c r="J14" s="67">
        <f t="shared" si="3"/>
        <v>33131</v>
      </c>
      <c r="K14" s="67">
        <f t="shared" si="3"/>
        <v>33131</v>
      </c>
      <c r="L14" s="67">
        <f t="shared" si="3"/>
        <v>33701</v>
      </c>
      <c r="M14" s="67">
        <f t="shared" si="3"/>
        <v>35481</v>
      </c>
      <c r="N14" s="67">
        <f t="shared" si="3"/>
        <v>35189</v>
      </c>
      <c r="O14" s="67">
        <f t="shared" si="3"/>
        <v>38231</v>
      </c>
      <c r="P14" s="67">
        <f t="shared" si="3"/>
        <v>35381</v>
      </c>
      <c r="Q14" s="67">
        <f t="shared" si="3"/>
        <v>35271</v>
      </c>
      <c r="R14" s="67">
        <f t="shared" si="3"/>
        <v>35311</v>
      </c>
      <c r="S14" s="89"/>
      <c r="T14" s="90"/>
      <c r="U14" s="90" t="s">
        <v>18</v>
      </c>
      <c r="V14" s="88" t="s">
        <v>33</v>
      </c>
    </row>
    <row r="15" ht="29.25" customHeight="1" spans="1:22">
      <c r="A15" s="18">
        <v>10</v>
      </c>
      <c r="B15" s="19" t="s">
        <v>34</v>
      </c>
      <c r="C15" s="68">
        <v>361504</v>
      </c>
      <c r="D15" s="102">
        <v>37378</v>
      </c>
      <c r="E15" s="67">
        <f t="shared" si="1"/>
        <v>398882</v>
      </c>
      <c r="F15" s="67">
        <f t="shared" si="2"/>
        <v>394190</v>
      </c>
      <c r="G15" s="107">
        <v>27901</v>
      </c>
      <c r="H15" s="107">
        <v>27961</v>
      </c>
      <c r="I15" s="107">
        <v>32521</v>
      </c>
      <c r="J15" s="107">
        <v>32601</v>
      </c>
      <c r="K15" s="107">
        <v>32601</v>
      </c>
      <c r="L15" s="107">
        <v>32601</v>
      </c>
      <c r="M15" s="107">
        <v>34501</v>
      </c>
      <c r="N15" s="107">
        <v>34659</v>
      </c>
      <c r="O15" s="107">
        <v>34661</v>
      </c>
      <c r="P15" s="107">
        <v>34661</v>
      </c>
      <c r="Q15" s="107">
        <v>34741</v>
      </c>
      <c r="R15" s="107">
        <v>34781</v>
      </c>
      <c r="S15" s="69"/>
      <c r="T15" s="93" t="s">
        <v>35</v>
      </c>
      <c r="U15" s="91" t="s">
        <v>18</v>
      </c>
      <c r="V15" s="92" t="s">
        <v>116</v>
      </c>
    </row>
    <row r="16" ht="23.25" customHeight="1" spans="1:22">
      <c r="A16" s="18">
        <v>11</v>
      </c>
      <c r="B16" s="19" t="s">
        <v>117</v>
      </c>
      <c r="C16" s="68">
        <v>19887.52</v>
      </c>
      <c r="D16" s="102">
        <v>0</v>
      </c>
      <c r="E16" s="67">
        <f t="shared" si="1"/>
        <v>19887.52</v>
      </c>
      <c r="F16" s="67">
        <f t="shared" si="2"/>
        <v>9790</v>
      </c>
      <c r="G16" s="68"/>
      <c r="H16" s="68">
        <v>4590</v>
      </c>
      <c r="I16" s="68">
        <v>950</v>
      </c>
      <c r="J16" s="68">
        <v>0</v>
      </c>
      <c r="K16" s="68">
        <v>0</v>
      </c>
      <c r="L16" s="68">
        <v>570</v>
      </c>
      <c r="M16" s="68">
        <v>450</v>
      </c>
      <c r="N16" s="68">
        <v>0</v>
      </c>
      <c r="O16" s="68">
        <v>3040</v>
      </c>
      <c r="P16" s="68">
        <v>190</v>
      </c>
      <c r="Q16" s="68">
        <v>0</v>
      </c>
      <c r="R16" s="68">
        <v>0</v>
      </c>
      <c r="S16" s="69"/>
      <c r="T16" s="93" t="s">
        <v>35</v>
      </c>
      <c r="U16" s="91" t="s">
        <v>18</v>
      </c>
      <c r="V16" s="92" t="s">
        <v>38</v>
      </c>
    </row>
    <row r="17" ht="23.25" customHeight="1" spans="1:22">
      <c r="A17" s="18">
        <v>12</v>
      </c>
      <c r="B17" s="19" t="s">
        <v>39</v>
      </c>
      <c r="C17" s="68">
        <v>5972.5</v>
      </c>
      <c r="D17" s="102"/>
      <c r="E17" s="67">
        <f t="shared" si="1"/>
        <v>5972.5</v>
      </c>
      <c r="F17" s="67">
        <f t="shared" si="2"/>
        <v>8510</v>
      </c>
      <c r="G17" s="68">
        <v>2180</v>
      </c>
      <c r="H17" s="68">
        <v>530</v>
      </c>
      <c r="I17" s="68">
        <v>1030</v>
      </c>
      <c r="J17" s="68">
        <v>530</v>
      </c>
      <c r="K17" s="68">
        <v>530</v>
      </c>
      <c r="L17" s="68">
        <v>530</v>
      </c>
      <c r="M17" s="68">
        <v>530</v>
      </c>
      <c r="N17" s="68">
        <v>530</v>
      </c>
      <c r="O17" s="68">
        <v>530</v>
      </c>
      <c r="P17" s="68">
        <v>530</v>
      </c>
      <c r="Q17" s="68">
        <v>530</v>
      </c>
      <c r="R17" s="68">
        <v>530</v>
      </c>
      <c r="S17" s="69"/>
      <c r="T17" s="93" t="s">
        <v>40</v>
      </c>
      <c r="U17" s="91" t="s">
        <v>18</v>
      </c>
      <c r="V17" s="92" t="s">
        <v>41</v>
      </c>
    </row>
    <row r="18" ht="23.25" customHeight="1" spans="1:22">
      <c r="A18" s="18">
        <v>13</v>
      </c>
      <c r="B18" s="19" t="s">
        <v>42</v>
      </c>
      <c r="C18" s="68">
        <v>7071</v>
      </c>
      <c r="D18" s="102"/>
      <c r="E18" s="67">
        <f t="shared" si="1"/>
        <v>7071</v>
      </c>
      <c r="F18" s="67">
        <f t="shared" si="2"/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9"/>
      <c r="T18" s="93" t="s">
        <v>40</v>
      </c>
      <c r="U18" s="91" t="s">
        <v>18</v>
      </c>
      <c r="V18" s="92" t="s">
        <v>43</v>
      </c>
    </row>
    <row r="19" ht="30.75" customHeight="1" spans="1:22">
      <c r="A19" s="18">
        <v>14</v>
      </c>
      <c r="B19" s="19" t="s">
        <v>44</v>
      </c>
      <c r="C19" s="68">
        <v>5000</v>
      </c>
      <c r="D19" s="102">
        <v>0</v>
      </c>
      <c r="E19" s="67">
        <f t="shared" si="1"/>
        <v>5000</v>
      </c>
      <c r="F19" s="67">
        <f t="shared" si="2"/>
        <v>0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9"/>
      <c r="T19" s="93" t="s">
        <v>40</v>
      </c>
      <c r="U19" s="91" t="s">
        <v>18</v>
      </c>
      <c r="V19" s="92" t="s">
        <v>45</v>
      </c>
    </row>
    <row r="20" ht="23.25" customHeight="1" spans="1:22">
      <c r="A20" s="18">
        <v>15</v>
      </c>
      <c r="B20" s="19" t="s">
        <v>46</v>
      </c>
      <c r="C20" s="68"/>
      <c r="D20" s="102"/>
      <c r="E20" s="67">
        <f t="shared" si="1"/>
        <v>0</v>
      </c>
      <c r="F20" s="67">
        <f t="shared" si="2"/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9"/>
      <c r="T20" s="93" t="s">
        <v>40</v>
      </c>
      <c r="U20" s="91" t="s">
        <v>18</v>
      </c>
      <c r="V20" s="92" t="s">
        <v>47</v>
      </c>
    </row>
    <row r="21" ht="23.25" customHeight="1" spans="1:22">
      <c r="A21" s="18">
        <v>16</v>
      </c>
      <c r="B21" s="19" t="s">
        <v>118</v>
      </c>
      <c r="C21" s="68">
        <v>870</v>
      </c>
      <c r="D21" s="102">
        <v>0</v>
      </c>
      <c r="E21" s="67">
        <f t="shared" si="1"/>
        <v>870</v>
      </c>
      <c r="F21" s="67">
        <f t="shared" si="2"/>
        <v>0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9"/>
      <c r="T21" s="93" t="s">
        <v>40</v>
      </c>
      <c r="U21" s="91" t="s">
        <v>18</v>
      </c>
      <c r="V21" s="92" t="s">
        <v>49</v>
      </c>
    </row>
    <row r="22" s="43" customFormat="1" ht="23.25" customHeight="1" spans="1:22">
      <c r="A22" s="18">
        <v>17</v>
      </c>
      <c r="B22" s="19" t="s">
        <v>50</v>
      </c>
      <c r="C22" s="68"/>
      <c r="D22" s="102"/>
      <c r="E22" s="67">
        <f t="shared" si="1"/>
        <v>0</v>
      </c>
      <c r="F22" s="67">
        <f t="shared" si="2"/>
        <v>0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93" t="s">
        <v>40</v>
      </c>
      <c r="U22" s="91" t="s">
        <v>18</v>
      </c>
      <c r="V22" s="92" t="s">
        <v>51</v>
      </c>
    </row>
    <row r="23" s="42" customFormat="1" ht="23.25" customHeight="1" spans="1:22">
      <c r="A23" s="65">
        <v>18</v>
      </c>
      <c r="B23" s="66" t="s">
        <v>52</v>
      </c>
      <c r="C23" s="72">
        <f>C24+C25+C26+C27+C28</f>
        <v>21559.0501747573</v>
      </c>
      <c r="D23" s="72">
        <f t="shared" ref="D23:R23" si="4">D24+D25+D26+D27+D28</f>
        <v>1938.87299417476</v>
      </c>
      <c r="E23" s="72">
        <f t="shared" si="1"/>
        <v>23497.923168932</v>
      </c>
      <c r="F23" s="72">
        <f t="shared" si="2"/>
        <v>46532.9518601942</v>
      </c>
      <c r="G23" s="72">
        <f t="shared" si="4"/>
        <v>3877.74598834951</v>
      </c>
      <c r="H23" s="72">
        <f t="shared" si="4"/>
        <v>3877.74598834951</v>
      </c>
      <c r="I23" s="72">
        <f t="shared" si="4"/>
        <v>3877.74598834951</v>
      </c>
      <c r="J23" s="72">
        <f t="shared" si="4"/>
        <v>3877.74598834951</v>
      </c>
      <c r="K23" s="72">
        <f t="shared" si="4"/>
        <v>3877.74598834951</v>
      </c>
      <c r="L23" s="72">
        <f t="shared" si="4"/>
        <v>3877.74598834951</v>
      </c>
      <c r="M23" s="72">
        <f t="shared" si="4"/>
        <v>3877.74598834951</v>
      </c>
      <c r="N23" s="72">
        <f t="shared" si="4"/>
        <v>3877.74598834951</v>
      </c>
      <c r="O23" s="72">
        <f t="shared" si="4"/>
        <v>3877.74598834951</v>
      </c>
      <c r="P23" s="72">
        <f t="shared" si="4"/>
        <v>3877.74598834951</v>
      </c>
      <c r="Q23" s="72">
        <f t="shared" si="4"/>
        <v>3877.74598834951</v>
      </c>
      <c r="R23" s="72">
        <f t="shared" si="4"/>
        <v>3877.74598834951</v>
      </c>
      <c r="S23" s="89"/>
      <c r="T23" s="90"/>
      <c r="U23" s="90" t="s">
        <v>18</v>
      </c>
      <c r="V23" s="88" t="s">
        <v>53</v>
      </c>
    </row>
    <row r="24" ht="23.25" customHeight="1" spans="1:22">
      <c r="A24" s="18">
        <v>19</v>
      </c>
      <c r="B24" s="19" t="s">
        <v>54</v>
      </c>
      <c r="C24" s="32">
        <f>(C7+C8)/1.03*0.03</f>
        <v>19249.1519417476</v>
      </c>
      <c r="D24" s="32">
        <f>(D7+D8)/1.03*0.03</f>
        <v>1731.13660194175</v>
      </c>
      <c r="E24" s="72">
        <f t="shared" si="1"/>
        <v>20980.2885436893</v>
      </c>
      <c r="F24" s="72">
        <f t="shared" si="2"/>
        <v>41547.2784466019</v>
      </c>
      <c r="G24" s="32">
        <f>(G7+G8)/1.03*0.06</f>
        <v>3462.2732038835</v>
      </c>
      <c r="H24" s="32">
        <f t="shared" ref="H24:R24" si="5">(H7+H8)/1.03*0.06</f>
        <v>3462.2732038835</v>
      </c>
      <c r="I24" s="32">
        <f t="shared" si="5"/>
        <v>3462.2732038835</v>
      </c>
      <c r="J24" s="32">
        <f t="shared" si="5"/>
        <v>3462.2732038835</v>
      </c>
      <c r="K24" s="32">
        <f t="shared" si="5"/>
        <v>3462.2732038835</v>
      </c>
      <c r="L24" s="32">
        <f t="shared" si="5"/>
        <v>3462.2732038835</v>
      </c>
      <c r="M24" s="32">
        <f t="shared" si="5"/>
        <v>3462.2732038835</v>
      </c>
      <c r="N24" s="32">
        <f t="shared" si="5"/>
        <v>3462.2732038835</v>
      </c>
      <c r="O24" s="32">
        <f t="shared" si="5"/>
        <v>3462.2732038835</v>
      </c>
      <c r="P24" s="32">
        <f t="shared" si="5"/>
        <v>3462.2732038835</v>
      </c>
      <c r="Q24" s="32">
        <f t="shared" si="5"/>
        <v>3462.2732038835</v>
      </c>
      <c r="R24" s="32">
        <f t="shared" si="5"/>
        <v>3462.2732038835</v>
      </c>
      <c r="S24" s="69"/>
      <c r="T24" s="91" t="s">
        <v>17</v>
      </c>
      <c r="U24" s="91" t="s">
        <v>18</v>
      </c>
      <c r="V24" s="92" t="s">
        <v>55</v>
      </c>
    </row>
    <row r="25" ht="23.25" customHeight="1" spans="1:22">
      <c r="A25" s="18">
        <v>20</v>
      </c>
      <c r="B25" s="19" t="s">
        <v>56</v>
      </c>
      <c r="C25" s="32">
        <f>C24*0.07</f>
        <v>1347.44063592233</v>
      </c>
      <c r="D25" s="32">
        <f>D24*0.07</f>
        <v>121.179562135922</v>
      </c>
      <c r="E25" s="72">
        <f t="shared" si="1"/>
        <v>1468.62019805825</v>
      </c>
      <c r="F25" s="72">
        <f t="shared" si="2"/>
        <v>2908.30949126214</v>
      </c>
      <c r="G25" s="32">
        <f t="shared" ref="G25:R25" si="6">G24*0.07</f>
        <v>242.359124271845</v>
      </c>
      <c r="H25" s="32">
        <f t="shared" si="6"/>
        <v>242.359124271845</v>
      </c>
      <c r="I25" s="32">
        <f t="shared" si="6"/>
        <v>242.359124271845</v>
      </c>
      <c r="J25" s="32">
        <f t="shared" si="6"/>
        <v>242.359124271845</v>
      </c>
      <c r="K25" s="32">
        <f t="shared" si="6"/>
        <v>242.359124271845</v>
      </c>
      <c r="L25" s="32">
        <f t="shared" si="6"/>
        <v>242.359124271845</v>
      </c>
      <c r="M25" s="32">
        <f t="shared" si="6"/>
        <v>242.359124271845</v>
      </c>
      <c r="N25" s="32">
        <f t="shared" si="6"/>
        <v>242.359124271845</v>
      </c>
      <c r="O25" s="32">
        <f t="shared" si="6"/>
        <v>242.359124271845</v>
      </c>
      <c r="P25" s="32">
        <f t="shared" si="6"/>
        <v>242.359124271845</v>
      </c>
      <c r="Q25" s="32">
        <f t="shared" si="6"/>
        <v>242.359124271845</v>
      </c>
      <c r="R25" s="32">
        <f t="shared" si="6"/>
        <v>242.359124271845</v>
      </c>
      <c r="S25" s="69"/>
      <c r="T25" s="91" t="s">
        <v>17</v>
      </c>
      <c r="U25" s="91" t="s">
        <v>18</v>
      </c>
      <c r="V25" s="92" t="s">
        <v>57</v>
      </c>
    </row>
    <row r="26" ht="23.25" customHeight="1" spans="1:22">
      <c r="A26" s="18">
        <v>21</v>
      </c>
      <c r="B26" s="19" t="s">
        <v>58</v>
      </c>
      <c r="C26" s="32">
        <f>C24*0.03</f>
        <v>577.474558252427</v>
      </c>
      <c r="D26" s="32">
        <f>D24*0.03</f>
        <v>51.9340980582524</v>
      </c>
      <c r="E26" s="72">
        <f t="shared" si="1"/>
        <v>629.40865631068</v>
      </c>
      <c r="F26" s="72">
        <f t="shared" si="2"/>
        <v>1246.41835339806</v>
      </c>
      <c r="G26" s="32">
        <f t="shared" ref="G26:R26" si="7">G24*0.03</f>
        <v>103.868196116505</v>
      </c>
      <c r="H26" s="32">
        <f t="shared" si="7"/>
        <v>103.868196116505</v>
      </c>
      <c r="I26" s="32">
        <f t="shared" si="7"/>
        <v>103.868196116505</v>
      </c>
      <c r="J26" s="32">
        <f t="shared" si="7"/>
        <v>103.868196116505</v>
      </c>
      <c r="K26" s="32">
        <f t="shared" si="7"/>
        <v>103.868196116505</v>
      </c>
      <c r="L26" s="32">
        <f t="shared" si="7"/>
        <v>103.868196116505</v>
      </c>
      <c r="M26" s="32">
        <f t="shared" si="7"/>
        <v>103.868196116505</v>
      </c>
      <c r="N26" s="32">
        <f t="shared" si="7"/>
        <v>103.868196116505</v>
      </c>
      <c r="O26" s="32">
        <f t="shared" si="7"/>
        <v>103.868196116505</v>
      </c>
      <c r="P26" s="32">
        <f t="shared" si="7"/>
        <v>103.868196116505</v>
      </c>
      <c r="Q26" s="32">
        <f t="shared" si="7"/>
        <v>103.868196116505</v>
      </c>
      <c r="R26" s="32">
        <f t="shared" si="7"/>
        <v>103.868196116505</v>
      </c>
      <c r="S26" s="69"/>
      <c r="T26" s="91" t="s">
        <v>17</v>
      </c>
      <c r="U26" s="91" t="s">
        <v>18</v>
      </c>
      <c r="V26" s="92" t="s">
        <v>57</v>
      </c>
    </row>
    <row r="27" ht="23.25" customHeight="1" spans="1:22">
      <c r="A27" s="18">
        <v>22</v>
      </c>
      <c r="B27" s="19" t="s">
        <v>59</v>
      </c>
      <c r="C27" s="32">
        <f>C24*0.02</f>
        <v>384.983038834951</v>
      </c>
      <c r="D27" s="32">
        <f>D24*0.02</f>
        <v>34.622732038835</v>
      </c>
      <c r="E27" s="72">
        <f t="shared" si="1"/>
        <v>419.605770873786</v>
      </c>
      <c r="F27" s="72">
        <f t="shared" si="2"/>
        <v>830.945568932039</v>
      </c>
      <c r="G27" s="32">
        <f t="shared" ref="G27:R27" si="8">G24*0.02</f>
        <v>69.2454640776699</v>
      </c>
      <c r="H27" s="32">
        <f t="shared" si="8"/>
        <v>69.2454640776699</v>
      </c>
      <c r="I27" s="32">
        <f t="shared" si="8"/>
        <v>69.2454640776699</v>
      </c>
      <c r="J27" s="32">
        <f t="shared" si="8"/>
        <v>69.2454640776699</v>
      </c>
      <c r="K27" s="32">
        <f t="shared" si="8"/>
        <v>69.2454640776699</v>
      </c>
      <c r="L27" s="32">
        <f t="shared" si="8"/>
        <v>69.2454640776699</v>
      </c>
      <c r="M27" s="32">
        <f t="shared" si="8"/>
        <v>69.2454640776699</v>
      </c>
      <c r="N27" s="32">
        <f t="shared" si="8"/>
        <v>69.2454640776699</v>
      </c>
      <c r="O27" s="32">
        <f t="shared" si="8"/>
        <v>69.2454640776699</v>
      </c>
      <c r="P27" s="32">
        <f t="shared" si="8"/>
        <v>69.2454640776699</v>
      </c>
      <c r="Q27" s="32">
        <f t="shared" si="8"/>
        <v>69.2454640776699</v>
      </c>
      <c r="R27" s="32">
        <f t="shared" si="8"/>
        <v>69.2454640776699</v>
      </c>
      <c r="S27" s="69"/>
      <c r="T27" s="91" t="s">
        <v>17</v>
      </c>
      <c r="U27" s="91" t="s">
        <v>18</v>
      </c>
      <c r="V27" s="92" t="s">
        <v>57</v>
      </c>
    </row>
    <row r="28" s="43" customFormat="1" ht="23.25" customHeight="1" spans="1:22">
      <c r="A28" s="18">
        <v>23</v>
      </c>
      <c r="B28" s="19" t="s">
        <v>60</v>
      </c>
      <c r="C28" s="70"/>
      <c r="D28" s="70"/>
      <c r="E28" s="67">
        <f t="shared" si="1"/>
        <v>0</v>
      </c>
      <c r="F28" s="67">
        <f t="shared" si="2"/>
        <v>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91" t="s">
        <v>17</v>
      </c>
      <c r="U28" s="91" t="s">
        <v>18</v>
      </c>
      <c r="V28" s="92" t="s">
        <v>51</v>
      </c>
    </row>
    <row r="29" s="42" customFormat="1" ht="41.25" customHeight="1" spans="1:22">
      <c r="A29" s="65">
        <v>24</v>
      </c>
      <c r="B29" s="66" t="s">
        <v>61</v>
      </c>
      <c r="C29" s="72">
        <f>C6-C14-C23</f>
        <v>239023.479825243</v>
      </c>
      <c r="D29" s="72">
        <f t="shared" ref="D29:R29" si="9">D6-D14-D23</f>
        <v>20118.8170058252</v>
      </c>
      <c r="E29" s="72">
        <f t="shared" si="9"/>
        <v>259142.296831068</v>
      </c>
      <c r="F29" s="72">
        <f t="shared" si="2"/>
        <v>254205.328139806</v>
      </c>
      <c r="G29" s="72">
        <f t="shared" si="9"/>
        <v>25476.9440116505</v>
      </c>
      <c r="H29" s="72">
        <f t="shared" si="9"/>
        <v>22476.9440116505</v>
      </c>
      <c r="I29" s="72">
        <f t="shared" si="9"/>
        <v>21056.9440116505</v>
      </c>
      <c r="J29" s="72">
        <f t="shared" si="9"/>
        <v>22426.9440116505</v>
      </c>
      <c r="K29" s="72">
        <f t="shared" si="9"/>
        <v>22426.9440116505</v>
      </c>
      <c r="L29" s="72">
        <f t="shared" si="9"/>
        <v>21856.9440116505</v>
      </c>
      <c r="M29" s="72">
        <f t="shared" si="9"/>
        <v>20076.9440116505</v>
      </c>
      <c r="N29" s="72">
        <f t="shared" si="9"/>
        <v>20368.9440116505</v>
      </c>
      <c r="O29" s="72">
        <f t="shared" si="9"/>
        <v>17326.9440116505</v>
      </c>
      <c r="P29" s="72">
        <f t="shared" si="9"/>
        <v>20176.9440116505</v>
      </c>
      <c r="Q29" s="72">
        <f t="shared" si="9"/>
        <v>20286.9440116505</v>
      </c>
      <c r="R29" s="72">
        <f t="shared" si="9"/>
        <v>20246.9440116505</v>
      </c>
      <c r="S29" s="89"/>
      <c r="T29" s="90"/>
      <c r="U29" s="90" t="s">
        <v>18</v>
      </c>
      <c r="V29" s="88"/>
    </row>
    <row r="30" s="42" customFormat="1" ht="27.75" customHeight="1" spans="1:22">
      <c r="A30" s="65">
        <v>25</v>
      </c>
      <c r="B30" s="66" t="s">
        <v>62</v>
      </c>
      <c r="C30" s="74">
        <f>C31+C32+C33+C34+C35+C38+C41+C47+C48+C49+C50+C51+C52</f>
        <v>67466.18</v>
      </c>
      <c r="D30" s="74">
        <f t="shared" ref="D30:R30" si="10">D31+D32+D33+D34+D35+D38+D41+D47+D48+D49+D50+D51+D52</f>
        <v>3091.78</v>
      </c>
      <c r="E30" s="74">
        <f t="shared" si="10"/>
        <v>70557.96</v>
      </c>
      <c r="F30" s="67">
        <f t="shared" si="2"/>
        <v>66274.7</v>
      </c>
      <c r="G30" s="74">
        <f t="shared" si="10"/>
        <v>5346.225</v>
      </c>
      <c r="H30" s="74">
        <f t="shared" si="10"/>
        <v>5616.225</v>
      </c>
      <c r="I30" s="74">
        <f t="shared" si="10"/>
        <v>5836.225</v>
      </c>
      <c r="J30" s="74">
        <f t="shared" si="10"/>
        <v>6586.225</v>
      </c>
      <c r="K30" s="74">
        <f t="shared" si="10"/>
        <v>6286.225</v>
      </c>
      <c r="L30" s="74">
        <f t="shared" si="10"/>
        <v>4116.225</v>
      </c>
      <c r="M30" s="74">
        <f t="shared" si="10"/>
        <v>4086.225</v>
      </c>
      <c r="N30" s="74">
        <f t="shared" si="10"/>
        <v>4086.225</v>
      </c>
      <c r="O30" s="74">
        <f t="shared" si="10"/>
        <v>5946.225</v>
      </c>
      <c r="P30" s="74">
        <f t="shared" si="10"/>
        <v>6296.225</v>
      </c>
      <c r="Q30" s="74">
        <f t="shared" si="10"/>
        <v>5786.225</v>
      </c>
      <c r="R30" s="74">
        <f t="shared" si="10"/>
        <v>6286.225</v>
      </c>
      <c r="S30" s="89"/>
      <c r="T30" s="90"/>
      <c r="U30" s="90" t="s">
        <v>18</v>
      </c>
      <c r="V30" s="88" t="s">
        <v>63</v>
      </c>
    </row>
    <row r="31" ht="23.25" customHeight="1" spans="1:22">
      <c r="A31" s="18">
        <v>26</v>
      </c>
      <c r="B31" s="19" t="s">
        <v>64</v>
      </c>
      <c r="C31" s="68"/>
      <c r="D31" s="102"/>
      <c r="E31" s="67">
        <f t="shared" si="1"/>
        <v>0</v>
      </c>
      <c r="F31" s="104">
        <f t="shared" si="2"/>
        <v>32500</v>
      </c>
      <c r="G31" s="68">
        <f>2800</f>
        <v>2800</v>
      </c>
      <c r="H31" s="68">
        <f>2800</f>
        <v>2800</v>
      </c>
      <c r="I31" s="68">
        <v>3200</v>
      </c>
      <c r="J31" s="68">
        <v>3200</v>
      </c>
      <c r="K31" s="68">
        <v>3200</v>
      </c>
      <c r="L31" s="68">
        <v>1500</v>
      </c>
      <c r="M31" s="68">
        <v>1500</v>
      </c>
      <c r="N31" s="68">
        <v>1500</v>
      </c>
      <c r="O31" s="68">
        <v>3200</v>
      </c>
      <c r="P31" s="68">
        <v>3200</v>
      </c>
      <c r="Q31" s="68">
        <v>3200</v>
      </c>
      <c r="R31" s="68">
        <v>3200</v>
      </c>
      <c r="S31" s="69"/>
      <c r="T31" s="93" t="s">
        <v>35</v>
      </c>
      <c r="U31" s="91" t="s">
        <v>18</v>
      </c>
      <c r="V31" s="92" t="s">
        <v>119</v>
      </c>
    </row>
    <row r="32" ht="30.75" customHeight="1" spans="1:22">
      <c r="A32" s="18">
        <v>27</v>
      </c>
      <c r="B32" s="19" t="s">
        <v>66</v>
      </c>
      <c r="C32" s="68"/>
      <c r="D32" s="102"/>
      <c r="E32" s="67">
        <f t="shared" si="1"/>
        <v>0</v>
      </c>
      <c r="F32" s="67">
        <f t="shared" si="2"/>
        <v>27206.7</v>
      </c>
      <c r="G32" s="68">
        <f>985.75*2*1.15</f>
        <v>2267.225</v>
      </c>
      <c r="H32" s="68">
        <f>985.75*2*1.15</f>
        <v>2267.225</v>
      </c>
      <c r="I32" s="68">
        <f>985.75*2*1.15</f>
        <v>2267.225</v>
      </c>
      <c r="J32" s="68">
        <f t="shared" ref="J32:R32" si="11">985.75*2*1.15</f>
        <v>2267.225</v>
      </c>
      <c r="K32" s="68">
        <f t="shared" si="11"/>
        <v>2267.225</v>
      </c>
      <c r="L32" s="68">
        <f t="shared" si="11"/>
        <v>2267.225</v>
      </c>
      <c r="M32" s="68">
        <f t="shared" si="11"/>
        <v>2267.225</v>
      </c>
      <c r="N32" s="68">
        <f t="shared" si="11"/>
        <v>2267.225</v>
      </c>
      <c r="O32" s="68">
        <f t="shared" si="11"/>
        <v>2267.225</v>
      </c>
      <c r="P32" s="68">
        <f t="shared" si="11"/>
        <v>2267.225</v>
      </c>
      <c r="Q32" s="68">
        <f t="shared" si="11"/>
        <v>2267.225</v>
      </c>
      <c r="R32" s="68">
        <f t="shared" si="11"/>
        <v>2267.225</v>
      </c>
      <c r="S32" s="69"/>
      <c r="T32" s="93" t="s">
        <v>35</v>
      </c>
      <c r="U32" s="91" t="s">
        <v>18</v>
      </c>
      <c r="V32" s="92" t="s">
        <v>67</v>
      </c>
    </row>
    <row r="33" ht="36.75" customHeight="1" spans="1:22">
      <c r="A33" s="18">
        <v>28</v>
      </c>
      <c r="B33" s="19" t="s">
        <v>68</v>
      </c>
      <c r="C33" s="68"/>
      <c r="D33" s="102"/>
      <c r="E33" s="67">
        <f t="shared" si="1"/>
        <v>0</v>
      </c>
      <c r="F33" s="104">
        <f t="shared" si="2"/>
        <v>520</v>
      </c>
      <c r="G33" s="68"/>
      <c r="H33" s="68">
        <v>270</v>
      </c>
      <c r="I33" s="68">
        <v>50</v>
      </c>
      <c r="J33" s="68">
        <v>0</v>
      </c>
      <c r="K33" s="68">
        <v>0</v>
      </c>
      <c r="L33" s="68">
        <v>30</v>
      </c>
      <c r="M33" s="68">
        <v>0</v>
      </c>
      <c r="N33" s="68">
        <v>0</v>
      </c>
      <c r="O33" s="68">
        <v>160</v>
      </c>
      <c r="P33" s="68">
        <v>10</v>
      </c>
      <c r="Q33" s="68">
        <v>0</v>
      </c>
      <c r="R33" s="68">
        <v>0</v>
      </c>
      <c r="S33" s="69"/>
      <c r="T33" s="93" t="s">
        <v>35</v>
      </c>
      <c r="U33" s="91" t="s">
        <v>18</v>
      </c>
      <c r="V33" s="92" t="s">
        <v>69</v>
      </c>
    </row>
    <row r="34" s="39" customFormat="1" ht="36.75" customHeight="1" spans="1:22">
      <c r="A34" s="18">
        <v>29</v>
      </c>
      <c r="B34" s="19" t="s">
        <v>70</v>
      </c>
      <c r="C34" s="68"/>
      <c r="D34" s="102"/>
      <c r="E34" s="67">
        <f t="shared" si="1"/>
        <v>0</v>
      </c>
      <c r="F34" s="67">
        <f t="shared" si="2"/>
        <v>348</v>
      </c>
      <c r="G34" s="68">
        <v>29</v>
      </c>
      <c r="H34" s="68">
        <v>29</v>
      </c>
      <c r="I34" s="68">
        <v>29</v>
      </c>
      <c r="J34" s="68">
        <v>29</v>
      </c>
      <c r="K34" s="68">
        <v>29</v>
      </c>
      <c r="L34" s="68">
        <v>29</v>
      </c>
      <c r="M34" s="68">
        <v>29</v>
      </c>
      <c r="N34" s="68">
        <v>29</v>
      </c>
      <c r="O34" s="68">
        <v>29</v>
      </c>
      <c r="P34" s="68">
        <v>29</v>
      </c>
      <c r="Q34" s="68">
        <v>29</v>
      </c>
      <c r="R34" s="68">
        <v>29</v>
      </c>
      <c r="S34" s="69"/>
      <c r="T34" s="93" t="s">
        <v>40</v>
      </c>
      <c r="U34" s="91" t="s">
        <v>18</v>
      </c>
      <c r="V34" s="92" t="s">
        <v>71</v>
      </c>
    </row>
    <row r="35" s="42" customFormat="1" ht="25.5" customHeight="1" spans="1:22">
      <c r="A35" s="65">
        <v>30</v>
      </c>
      <c r="B35" s="66" t="s">
        <v>72</v>
      </c>
      <c r="C35" s="67">
        <f>C36+C37</f>
        <v>0</v>
      </c>
      <c r="D35" s="67">
        <f t="shared" ref="D35:R35" si="12">D36+D37</f>
        <v>0</v>
      </c>
      <c r="E35" s="67">
        <f t="shared" si="12"/>
        <v>0</v>
      </c>
      <c r="F35" s="67">
        <f t="shared" si="2"/>
        <v>0</v>
      </c>
      <c r="G35" s="67">
        <f t="shared" si="12"/>
        <v>0</v>
      </c>
      <c r="H35" s="67">
        <f t="shared" si="12"/>
        <v>0</v>
      </c>
      <c r="I35" s="67">
        <f t="shared" si="12"/>
        <v>0</v>
      </c>
      <c r="J35" s="67">
        <f t="shared" si="12"/>
        <v>0</v>
      </c>
      <c r="K35" s="67">
        <f t="shared" si="12"/>
        <v>0</v>
      </c>
      <c r="L35" s="67">
        <f t="shared" si="12"/>
        <v>0</v>
      </c>
      <c r="M35" s="67">
        <f t="shared" si="12"/>
        <v>0</v>
      </c>
      <c r="N35" s="67">
        <f t="shared" si="12"/>
        <v>0</v>
      </c>
      <c r="O35" s="67">
        <f t="shared" si="12"/>
        <v>0</v>
      </c>
      <c r="P35" s="67">
        <f t="shared" si="12"/>
        <v>0</v>
      </c>
      <c r="Q35" s="67">
        <f t="shared" si="12"/>
        <v>0</v>
      </c>
      <c r="R35" s="67">
        <f t="shared" si="12"/>
        <v>0</v>
      </c>
      <c r="S35" s="89"/>
      <c r="T35" s="90"/>
      <c r="U35" s="90"/>
      <c r="V35" s="88"/>
    </row>
    <row r="36" s="101" customFormat="1" ht="25.5" customHeight="1" spans="1:22">
      <c r="A36" s="30">
        <v>31</v>
      </c>
      <c r="B36" s="28" t="s">
        <v>74</v>
      </c>
      <c r="C36" s="76"/>
      <c r="D36" s="76"/>
      <c r="E36" s="78">
        <f t="shared" si="1"/>
        <v>0</v>
      </c>
      <c r="F36" s="78">
        <f t="shared" si="2"/>
        <v>0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91" t="s">
        <v>40</v>
      </c>
      <c r="U36" s="91" t="s">
        <v>18</v>
      </c>
      <c r="V36" s="106" t="s">
        <v>73</v>
      </c>
    </row>
    <row r="37" s="101" customFormat="1" ht="25.5" customHeight="1" spans="1:22">
      <c r="A37" s="30">
        <v>32</v>
      </c>
      <c r="B37" s="28" t="s">
        <v>75</v>
      </c>
      <c r="C37" s="76"/>
      <c r="D37" s="76"/>
      <c r="E37" s="78">
        <f t="shared" si="1"/>
        <v>0</v>
      </c>
      <c r="F37" s="78">
        <f t="shared" si="2"/>
        <v>0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91"/>
      <c r="U37" s="91" t="s">
        <v>18</v>
      </c>
      <c r="V37" s="106"/>
    </row>
    <row r="38" s="42" customFormat="1" ht="25.5" customHeight="1" spans="1:22">
      <c r="A38" s="65">
        <v>33</v>
      </c>
      <c r="B38" s="66" t="s">
        <v>76</v>
      </c>
      <c r="C38" s="74">
        <f>C39+C40</f>
        <v>0</v>
      </c>
      <c r="D38" s="74">
        <f t="shared" ref="D38:R38" si="13">D39+D40</f>
        <v>0</v>
      </c>
      <c r="E38" s="74">
        <f t="shared" si="13"/>
        <v>0</v>
      </c>
      <c r="F38" s="67">
        <f t="shared" si="2"/>
        <v>0</v>
      </c>
      <c r="G38" s="74">
        <f t="shared" si="13"/>
        <v>0</v>
      </c>
      <c r="H38" s="74">
        <f t="shared" si="13"/>
        <v>0</v>
      </c>
      <c r="I38" s="74">
        <f t="shared" si="13"/>
        <v>0</v>
      </c>
      <c r="J38" s="74">
        <f t="shared" si="13"/>
        <v>0</v>
      </c>
      <c r="K38" s="74">
        <f t="shared" si="13"/>
        <v>0</v>
      </c>
      <c r="L38" s="74">
        <f t="shared" si="13"/>
        <v>0</v>
      </c>
      <c r="M38" s="74">
        <f t="shared" si="13"/>
        <v>0</v>
      </c>
      <c r="N38" s="74">
        <f t="shared" si="13"/>
        <v>0</v>
      </c>
      <c r="O38" s="74">
        <f t="shared" si="13"/>
        <v>0</v>
      </c>
      <c r="P38" s="74">
        <f t="shared" si="13"/>
        <v>0</v>
      </c>
      <c r="Q38" s="74">
        <f t="shared" si="13"/>
        <v>0</v>
      </c>
      <c r="R38" s="74">
        <f t="shared" si="13"/>
        <v>0</v>
      </c>
      <c r="S38" s="89"/>
      <c r="T38" s="90"/>
      <c r="U38" s="90" t="s">
        <v>18</v>
      </c>
      <c r="V38" s="88"/>
    </row>
    <row r="39" s="101" customFormat="1" ht="25.5" customHeight="1" spans="1:22">
      <c r="A39" s="30">
        <v>34</v>
      </c>
      <c r="B39" s="28" t="s">
        <v>77</v>
      </c>
      <c r="C39" s="76"/>
      <c r="D39" s="76"/>
      <c r="E39" s="78">
        <f t="shared" si="1"/>
        <v>0</v>
      </c>
      <c r="F39" s="78">
        <f t="shared" si="2"/>
        <v>0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91"/>
      <c r="U39" s="91" t="s">
        <v>18</v>
      </c>
      <c r="V39" s="106"/>
    </row>
    <row r="40" s="101" customFormat="1" ht="34.5" customHeight="1" spans="1:22">
      <c r="A40" s="30">
        <v>35</v>
      </c>
      <c r="B40" s="28" t="s">
        <v>78</v>
      </c>
      <c r="C40" s="76"/>
      <c r="D40" s="76"/>
      <c r="E40" s="78">
        <f t="shared" si="1"/>
        <v>0</v>
      </c>
      <c r="F40" s="78">
        <f t="shared" si="2"/>
        <v>0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91"/>
      <c r="U40" s="91" t="s">
        <v>18</v>
      </c>
      <c r="V40" s="106"/>
    </row>
    <row r="41" s="42" customFormat="1" ht="34.5" customHeight="1" spans="1:22">
      <c r="A41" s="65">
        <v>36</v>
      </c>
      <c r="B41" s="66" t="s">
        <v>79</v>
      </c>
      <c r="C41" s="67">
        <f>C42+C43+C44+C45+C46</f>
        <v>2650.4</v>
      </c>
      <c r="D41" s="67">
        <f t="shared" ref="D41:R41" si="14">D42+D43+D44+D45+D46</f>
        <v>296</v>
      </c>
      <c r="E41" s="67">
        <f t="shared" si="14"/>
        <v>2946.4</v>
      </c>
      <c r="F41" s="67">
        <f t="shared" si="2"/>
        <v>4000</v>
      </c>
      <c r="G41" s="67">
        <f t="shared" si="14"/>
        <v>250</v>
      </c>
      <c r="H41" s="67">
        <f t="shared" si="14"/>
        <v>250</v>
      </c>
      <c r="I41" s="67">
        <f t="shared" si="14"/>
        <v>250</v>
      </c>
      <c r="J41" s="67">
        <f t="shared" si="14"/>
        <v>250</v>
      </c>
      <c r="K41" s="67">
        <f t="shared" si="14"/>
        <v>250</v>
      </c>
      <c r="L41" s="67">
        <f t="shared" si="14"/>
        <v>250</v>
      </c>
      <c r="M41" s="67">
        <f t="shared" si="14"/>
        <v>250</v>
      </c>
      <c r="N41" s="67">
        <f t="shared" si="14"/>
        <v>250</v>
      </c>
      <c r="O41" s="67">
        <f t="shared" si="14"/>
        <v>250</v>
      </c>
      <c r="P41" s="67">
        <f t="shared" si="14"/>
        <v>750</v>
      </c>
      <c r="Q41" s="67">
        <f t="shared" si="14"/>
        <v>250</v>
      </c>
      <c r="R41" s="67">
        <f t="shared" si="14"/>
        <v>750</v>
      </c>
      <c r="S41" s="89"/>
      <c r="T41" s="90"/>
      <c r="U41" s="90" t="s">
        <v>18</v>
      </c>
      <c r="V41" s="88" t="s">
        <v>80</v>
      </c>
    </row>
    <row r="42" s="101" customFormat="1" ht="34.5" customHeight="1" spans="1:22">
      <c r="A42" s="30">
        <v>37</v>
      </c>
      <c r="B42" s="28" t="s">
        <v>81</v>
      </c>
      <c r="C42" s="68">
        <v>2650.4</v>
      </c>
      <c r="D42" s="102">
        <v>296</v>
      </c>
      <c r="E42" s="67">
        <f t="shared" si="1"/>
        <v>2946.4</v>
      </c>
      <c r="F42" s="67">
        <f t="shared" si="2"/>
        <v>3000</v>
      </c>
      <c r="G42" s="68">
        <v>250</v>
      </c>
      <c r="H42" s="68">
        <v>250</v>
      </c>
      <c r="I42" s="68">
        <v>250</v>
      </c>
      <c r="J42" s="68">
        <v>250</v>
      </c>
      <c r="K42" s="68">
        <v>250</v>
      </c>
      <c r="L42" s="68">
        <v>250</v>
      </c>
      <c r="M42" s="68">
        <v>250</v>
      </c>
      <c r="N42" s="68">
        <v>250</v>
      </c>
      <c r="O42" s="68">
        <v>250</v>
      </c>
      <c r="P42" s="68">
        <v>250</v>
      </c>
      <c r="Q42" s="68">
        <v>250</v>
      </c>
      <c r="R42" s="68">
        <v>250</v>
      </c>
      <c r="S42" s="77"/>
      <c r="T42" s="91" t="s">
        <v>40</v>
      </c>
      <c r="U42" s="91" t="s">
        <v>18</v>
      </c>
      <c r="V42" s="106"/>
    </row>
    <row r="43" s="101" customFormat="1" ht="34.5" customHeight="1" spans="1:22">
      <c r="A43" s="30">
        <v>38</v>
      </c>
      <c r="B43" s="28" t="s">
        <v>82</v>
      </c>
      <c r="C43" s="68"/>
      <c r="D43" s="102"/>
      <c r="E43" s="67">
        <f t="shared" si="1"/>
        <v>0</v>
      </c>
      <c r="F43" s="67">
        <f t="shared" si="2"/>
        <v>1000</v>
      </c>
      <c r="G43" s="68"/>
      <c r="H43" s="68"/>
      <c r="I43" s="68"/>
      <c r="J43" s="68"/>
      <c r="K43" s="68"/>
      <c r="L43" s="68"/>
      <c r="M43" s="68"/>
      <c r="N43" s="68"/>
      <c r="O43" s="68"/>
      <c r="P43" s="68">
        <v>500</v>
      </c>
      <c r="Q43" s="68"/>
      <c r="R43" s="68">
        <v>500</v>
      </c>
      <c r="S43" s="77"/>
      <c r="T43" s="91" t="s">
        <v>40</v>
      </c>
      <c r="U43" s="91" t="s">
        <v>18</v>
      </c>
      <c r="V43" s="106"/>
    </row>
    <row r="44" s="101" customFormat="1" ht="34.5" customHeight="1" spans="1:22">
      <c r="A44" s="30">
        <v>39</v>
      </c>
      <c r="B44" s="28" t="s">
        <v>83</v>
      </c>
      <c r="C44" s="68"/>
      <c r="D44" s="102"/>
      <c r="E44" s="67">
        <f t="shared" si="1"/>
        <v>0</v>
      </c>
      <c r="F44" s="67">
        <f t="shared" si="2"/>
        <v>0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77"/>
      <c r="T44" s="91" t="s">
        <v>40</v>
      </c>
      <c r="U44" s="91" t="s">
        <v>18</v>
      </c>
      <c r="V44" s="106"/>
    </row>
    <row r="45" s="101" customFormat="1" ht="34.5" customHeight="1" spans="1:22">
      <c r="A45" s="30">
        <v>40</v>
      </c>
      <c r="B45" s="28" t="s">
        <v>84</v>
      </c>
      <c r="C45" s="68"/>
      <c r="D45" s="102"/>
      <c r="E45" s="67">
        <f t="shared" si="1"/>
        <v>0</v>
      </c>
      <c r="F45" s="67">
        <f t="shared" si="2"/>
        <v>0</v>
      </c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77"/>
      <c r="T45" s="91" t="s">
        <v>40</v>
      </c>
      <c r="U45" s="91" t="s">
        <v>18</v>
      </c>
      <c r="V45" s="106"/>
    </row>
    <row r="46" s="101" customFormat="1" ht="24.75" customHeight="1" spans="1:22">
      <c r="A46" s="30">
        <v>41</v>
      </c>
      <c r="B46" s="28" t="s">
        <v>85</v>
      </c>
      <c r="C46" s="68"/>
      <c r="D46" s="102"/>
      <c r="E46" s="67">
        <f t="shared" si="1"/>
        <v>0</v>
      </c>
      <c r="F46" s="67">
        <f t="shared" si="2"/>
        <v>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77"/>
      <c r="T46" s="91" t="s">
        <v>35</v>
      </c>
      <c r="U46" s="91" t="s">
        <v>18</v>
      </c>
      <c r="V46" s="106"/>
    </row>
    <row r="47" ht="20.25" customHeight="1" spans="1:22">
      <c r="A47" s="18">
        <v>42</v>
      </c>
      <c r="B47" s="19" t="s">
        <v>86</v>
      </c>
      <c r="C47" s="68">
        <v>342</v>
      </c>
      <c r="D47" s="102"/>
      <c r="E47" s="67">
        <f t="shared" si="1"/>
        <v>342</v>
      </c>
      <c r="F47" s="67">
        <f t="shared" si="2"/>
        <v>0</v>
      </c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9"/>
      <c r="T47" s="93" t="s">
        <v>40</v>
      </c>
      <c r="U47" s="91" t="s">
        <v>18</v>
      </c>
      <c r="V47" s="92" t="s">
        <v>80</v>
      </c>
    </row>
    <row r="48" ht="24" customHeight="1" spans="1:22">
      <c r="A48" s="18">
        <v>43</v>
      </c>
      <c r="B48" s="19" t="s">
        <v>87</v>
      </c>
      <c r="C48" s="68"/>
      <c r="D48" s="102"/>
      <c r="E48" s="67">
        <f t="shared" si="1"/>
        <v>0</v>
      </c>
      <c r="F48" s="67">
        <f t="shared" si="2"/>
        <v>400</v>
      </c>
      <c r="G48" s="68"/>
      <c r="H48" s="68"/>
      <c r="I48" s="68">
        <v>40</v>
      </c>
      <c r="J48" s="68">
        <v>40</v>
      </c>
      <c r="K48" s="68">
        <v>40</v>
      </c>
      <c r="L48" s="68">
        <v>40</v>
      </c>
      <c r="M48" s="68">
        <v>40</v>
      </c>
      <c r="N48" s="68">
        <v>40</v>
      </c>
      <c r="O48" s="68">
        <v>40</v>
      </c>
      <c r="P48" s="68">
        <v>40</v>
      </c>
      <c r="Q48" s="68">
        <v>40</v>
      </c>
      <c r="R48" s="68">
        <v>40</v>
      </c>
      <c r="S48" s="69"/>
      <c r="T48" s="93" t="s">
        <v>40</v>
      </c>
      <c r="U48" s="91" t="s">
        <v>18</v>
      </c>
      <c r="V48" s="92" t="s">
        <v>80</v>
      </c>
    </row>
    <row r="49" ht="23.25" customHeight="1" spans="1:22">
      <c r="A49" s="18">
        <v>44</v>
      </c>
      <c r="B49" s="19" t="s">
        <v>88</v>
      </c>
      <c r="C49" s="68">
        <v>1080</v>
      </c>
      <c r="D49" s="102">
        <v>0</v>
      </c>
      <c r="E49" s="67">
        <f t="shared" si="1"/>
        <v>1080</v>
      </c>
      <c r="F49" s="67">
        <f t="shared" si="2"/>
        <v>500</v>
      </c>
      <c r="G49" s="68"/>
      <c r="H49" s="68"/>
      <c r="I49" s="68"/>
      <c r="J49" s="68"/>
      <c r="K49" s="68">
        <v>500</v>
      </c>
      <c r="L49" s="68"/>
      <c r="M49" s="68"/>
      <c r="N49" s="68"/>
      <c r="O49" s="68"/>
      <c r="P49" s="68"/>
      <c r="Q49" s="68"/>
      <c r="R49" s="68"/>
      <c r="S49" s="69"/>
      <c r="T49" s="93" t="s">
        <v>40</v>
      </c>
      <c r="U49" s="91" t="s">
        <v>18</v>
      </c>
      <c r="V49" s="92" t="s">
        <v>80</v>
      </c>
    </row>
    <row r="50" ht="23.25" customHeight="1" spans="1:22">
      <c r="A50" s="18">
        <v>45</v>
      </c>
      <c r="B50" s="19" t="s">
        <v>89</v>
      </c>
      <c r="C50" s="68">
        <v>0</v>
      </c>
      <c r="D50" s="102"/>
      <c r="E50" s="67">
        <f t="shared" si="1"/>
        <v>0</v>
      </c>
      <c r="F50" s="67">
        <f t="shared" si="2"/>
        <v>0</v>
      </c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9"/>
      <c r="T50" s="93" t="s">
        <v>40</v>
      </c>
      <c r="U50" s="91" t="s">
        <v>18</v>
      </c>
      <c r="V50" s="92" t="s">
        <v>80</v>
      </c>
    </row>
    <row r="51" ht="23.25" customHeight="1" spans="1:22">
      <c r="A51" s="18">
        <v>46</v>
      </c>
      <c r="B51" s="19" t="s">
        <v>90</v>
      </c>
      <c r="C51" s="68">
        <v>1738</v>
      </c>
      <c r="D51" s="102">
        <v>0</v>
      </c>
      <c r="E51" s="67">
        <f t="shared" si="1"/>
        <v>1738</v>
      </c>
      <c r="F51" s="67">
        <f t="shared" si="2"/>
        <v>800</v>
      </c>
      <c r="G51" s="68"/>
      <c r="H51" s="68"/>
      <c r="I51" s="68"/>
      <c r="J51" s="68">
        <v>800</v>
      </c>
      <c r="K51" s="68"/>
      <c r="L51" s="68"/>
      <c r="M51" s="68"/>
      <c r="N51" s="68"/>
      <c r="O51" s="68"/>
      <c r="P51" s="68"/>
      <c r="Q51" s="68"/>
      <c r="R51" s="68"/>
      <c r="S51" s="69"/>
      <c r="T51" s="93" t="s">
        <v>91</v>
      </c>
      <c r="U51" s="91" t="s">
        <v>18</v>
      </c>
      <c r="V51" s="92" t="s">
        <v>92</v>
      </c>
    </row>
    <row r="52" s="43" customFormat="1" ht="23.25" customHeight="1" spans="1:22">
      <c r="A52" s="18">
        <v>47</v>
      </c>
      <c r="B52" s="19" t="s">
        <v>93</v>
      </c>
      <c r="C52" s="68">
        <v>61655.78</v>
      </c>
      <c r="D52" s="102">
        <v>2795.78</v>
      </c>
      <c r="E52" s="67">
        <f t="shared" si="1"/>
        <v>64451.56</v>
      </c>
      <c r="F52" s="67">
        <f t="shared" si="2"/>
        <v>0</v>
      </c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9"/>
      <c r="T52" s="93"/>
      <c r="U52" s="91" t="s">
        <v>18</v>
      </c>
      <c r="V52" s="92" t="s">
        <v>51</v>
      </c>
    </row>
    <row r="53" s="42" customFormat="1" ht="23.25" customHeight="1" spans="1:22">
      <c r="A53" s="65">
        <v>48</v>
      </c>
      <c r="B53" s="66" t="s">
        <v>94</v>
      </c>
      <c r="C53" s="67">
        <f>C54+C55+C56</f>
        <v>0</v>
      </c>
      <c r="D53" s="67">
        <f t="shared" ref="D53:R53" si="15">D54+D55+D56</f>
        <v>0</v>
      </c>
      <c r="E53" s="67">
        <f t="shared" si="15"/>
        <v>0</v>
      </c>
      <c r="F53" s="67">
        <f t="shared" si="2"/>
        <v>0</v>
      </c>
      <c r="G53" s="67">
        <f t="shared" si="15"/>
        <v>0</v>
      </c>
      <c r="H53" s="67">
        <f t="shared" si="15"/>
        <v>0</v>
      </c>
      <c r="I53" s="67">
        <f t="shared" si="15"/>
        <v>0</v>
      </c>
      <c r="J53" s="67">
        <f t="shared" si="15"/>
        <v>0</v>
      </c>
      <c r="K53" s="67">
        <f t="shared" si="15"/>
        <v>0</v>
      </c>
      <c r="L53" s="67">
        <f t="shared" si="15"/>
        <v>0</v>
      </c>
      <c r="M53" s="67">
        <f t="shared" si="15"/>
        <v>0</v>
      </c>
      <c r="N53" s="67">
        <f t="shared" si="15"/>
        <v>0</v>
      </c>
      <c r="O53" s="67">
        <f t="shared" si="15"/>
        <v>0</v>
      </c>
      <c r="P53" s="67">
        <f t="shared" si="15"/>
        <v>0</v>
      </c>
      <c r="Q53" s="67">
        <f t="shared" si="15"/>
        <v>0</v>
      </c>
      <c r="R53" s="67">
        <f t="shared" si="15"/>
        <v>0</v>
      </c>
      <c r="S53" s="89"/>
      <c r="T53" s="90"/>
      <c r="U53" s="90" t="s">
        <v>18</v>
      </c>
      <c r="V53" s="88" t="s">
        <v>95</v>
      </c>
    </row>
    <row r="54" ht="23.25" customHeight="1" spans="1:22">
      <c r="A54" s="18">
        <v>49</v>
      </c>
      <c r="B54" s="19" t="s">
        <v>96</v>
      </c>
      <c r="C54" s="70"/>
      <c r="D54" s="70"/>
      <c r="E54" s="67">
        <f t="shared" si="1"/>
        <v>0</v>
      </c>
      <c r="F54" s="67">
        <f t="shared" si="2"/>
        <v>0</v>
      </c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91" t="s">
        <v>17</v>
      </c>
      <c r="U54" s="91" t="s">
        <v>18</v>
      </c>
      <c r="V54" s="92" t="s">
        <v>51</v>
      </c>
    </row>
    <row r="55" ht="23.25" customHeight="1" spans="1:22">
      <c r="A55" s="18">
        <v>50</v>
      </c>
      <c r="B55" s="19" t="s">
        <v>97</v>
      </c>
      <c r="C55" s="70"/>
      <c r="D55" s="70"/>
      <c r="E55" s="67">
        <f t="shared" si="1"/>
        <v>0</v>
      </c>
      <c r="F55" s="67">
        <f t="shared" si="2"/>
        <v>0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91" t="s">
        <v>17</v>
      </c>
      <c r="U55" s="91" t="s">
        <v>18</v>
      </c>
      <c r="V55" s="92" t="s">
        <v>51</v>
      </c>
    </row>
    <row r="56" s="43" customFormat="1" ht="23.25" customHeight="1" spans="1:22">
      <c r="A56" s="18">
        <v>51</v>
      </c>
      <c r="B56" s="19" t="s">
        <v>98</v>
      </c>
      <c r="C56" s="70"/>
      <c r="D56" s="70"/>
      <c r="E56" s="67">
        <f t="shared" si="1"/>
        <v>0</v>
      </c>
      <c r="F56" s="67">
        <f t="shared" si="2"/>
        <v>0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97"/>
      <c r="T56" s="91" t="s">
        <v>17</v>
      </c>
      <c r="U56" s="91" t="s">
        <v>18</v>
      </c>
      <c r="V56" s="92" t="s">
        <v>51</v>
      </c>
    </row>
    <row r="57" s="42" customFormat="1" ht="23.25" customHeight="1" spans="1:22">
      <c r="A57" s="65">
        <v>52</v>
      </c>
      <c r="B57" s="66" t="s">
        <v>99</v>
      </c>
      <c r="C57" s="72">
        <f>C29-C30-C53</f>
        <v>171557.299825243</v>
      </c>
      <c r="D57" s="72">
        <f t="shared" ref="D57:R57" si="16">D29-D30-D53</f>
        <v>17027.0370058252</v>
      </c>
      <c r="E57" s="72">
        <f t="shared" si="16"/>
        <v>188584.336831068</v>
      </c>
      <c r="F57" s="72">
        <f t="shared" si="2"/>
        <v>187930.628139806</v>
      </c>
      <c r="G57" s="72">
        <f t="shared" si="16"/>
        <v>20130.7190116505</v>
      </c>
      <c r="H57" s="72">
        <f t="shared" si="16"/>
        <v>16860.7190116505</v>
      </c>
      <c r="I57" s="72">
        <f t="shared" si="16"/>
        <v>15220.7190116505</v>
      </c>
      <c r="J57" s="72">
        <f t="shared" si="16"/>
        <v>15840.7190116505</v>
      </c>
      <c r="K57" s="72">
        <f t="shared" si="16"/>
        <v>16140.7190116505</v>
      </c>
      <c r="L57" s="72">
        <f t="shared" si="16"/>
        <v>17740.7190116505</v>
      </c>
      <c r="M57" s="72">
        <f t="shared" si="16"/>
        <v>15990.7190116505</v>
      </c>
      <c r="N57" s="72">
        <f t="shared" si="16"/>
        <v>16282.7190116505</v>
      </c>
      <c r="O57" s="72">
        <f t="shared" si="16"/>
        <v>11380.7190116505</v>
      </c>
      <c r="P57" s="72">
        <f t="shared" si="16"/>
        <v>13880.7190116505</v>
      </c>
      <c r="Q57" s="72">
        <f t="shared" si="16"/>
        <v>14500.7190116505</v>
      </c>
      <c r="R57" s="72">
        <f t="shared" si="16"/>
        <v>13960.7190116505</v>
      </c>
      <c r="S57" s="89"/>
      <c r="T57" s="90"/>
      <c r="U57" s="90" t="s">
        <v>18</v>
      </c>
      <c r="V57" s="88"/>
    </row>
    <row r="58" s="43" customFormat="1" ht="23.25" customHeight="1" spans="1:22">
      <c r="A58" s="18">
        <v>53</v>
      </c>
      <c r="B58" s="16" t="s">
        <v>100</v>
      </c>
      <c r="C58" s="80"/>
      <c r="D58" s="80"/>
      <c r="E58" s="67">
        <f t="shared" si="1"/>
        <v>0</v>
      </c>
      <c r="F58" s="67">
        <f t="shared" si="2"/>
        <v>0</v>
      </c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98"/>
      <c r="S58" s="81"/>
      <c r="T58" s="99"/>
      <c r="U58" s="99" t="s">
        <v>18</v>
      </c>
      <c r="V58" s="100" t="s">
        <v>51</v>
      </c>
    </row>
    <row r="59" s="43" customFormat="1" ht="23.25" customHeight="1" spans="1:22">
      <c r="A59" s="18">
        <v>54</v>
      </c>
      <c r="B59" s="16" t="s">
        <v>101</v>
      </c>
      <c r="C59" s="80"/>
      <c r="D59" s="80"/>
      <c r="E59" s="67">
        <f t="shared" si="1"/>
        <v>0</v>
      </c>
      <c r="F59" s="67">
        <f t="shared" si="2"/>
        <v>0</v>
      </c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98"/>
      <c r="S59" s="81"/>
      <c r="T59" s="99"/>
      <c r="U59" s="99" t="s">
        <v>18</v>
      </c>
      <c r="V59" s="100" t="s">
        <v>51</v>
      </c>
    </row>
    <row r="60" s="43" customFormat="1" ht="23.25" customHeight="1" spans="1:22">
      <c r="A60" s="18">
        <v>55</v>
      </c>
      <c r="B60" s="16" t="s">
        <v>102</v>
      </c>
      <c r="C60" s="80"/>
      <c r="D60" s="80"/>
      <c r="E60" s="67">
        <f t="shared" si="1"/>
        <v>0</v>
      </c>
      <c r="F60" s="67">
        <f t="shared" si="2"/>
        <v>0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98"/>
      <c r="S60" s="81"/>
      <c r="T60" s="99"/>
      <c r="U60" s="99" t="s">
        <v>18</v>
      </c>
      <c r="V60" s="100" t="s">
        <v>51</v>
      </c>
    </row>
    <row r="61" s="43" customFormat="1" ht="23.25" customHeight="1" spans="1:22">
      <c r="A61" s="18">
        <v>56</v>
      </c>
      <c r="B61" s="16" t="s">
        <v>103</v>
      </c>
      <c r="C61" s="80"/>
      <c r="D61" s="80"/>
      <c r="E61" s="67">
        <f t="shared" si="1"/>
        <v>0</v>
      </c>
      <c r="F61" s="67">
        <f t="shared" si="2"/>
        <v>0</v>
      </c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98"/>
      <c r="S61" s="81"/>
      <c r="T61" s="99"/>
      <c r="U61" s="99" t="s">
        <v>18</v>
      </c>
      <c r="V61" s="100" t="s">
        <v>51</v>
      </c>
    </row>
    <row r="62" s="42" customFormat="1" ht="23.25" customHeight="1" spans="1:22">
      <c r="A62" s="65">
        <v>57</v>
      </c>
      <c r="B62" s="66" t="s">
        <v>104</v>
      </c>
      <c r="C62" s="72">
        <f>C57+C58-C59+C60-C61</f>
        <v>171557.299825243</v>
      </c>
      <c r="D62" s="72">
        <f t="shared" ref="D62:R62" si="17">D57+D58-D59+D60-D61</f>
        <v>17027.0370058252</v>
      </c>
      <c r="E62" s="72">
        <f t="shared" si="17"/>
        <v>188584.336831068</v>
      </c>
      <c r="F62" s="72">
        <f t="shared" si="2"/>
        <v>187930.628139806</v>
      </c>
      <c r="G62" s="72">
        <f t="shared" si="17"/>
        <v>20130.7190116505</v>
      </c>
      <c r="H62" s="72">
        <f t="shared" si="17"/>
        <v>16860.7190116505</v>
      </c>
      <c r="I62" s="72">
        <f t="shared" si="17"/>
        <v>15220.7190116505</v>
      </c>
      <c r="J62" s="72">
        <f t="shared" si="17"/>
        <v>15840.7190116505</v>
      </c>
      <c r="K62" s="72">
        <f t="shared" si="17"/>
        <v>16140.7190116505</v>
      </c>
      <c r="L62" s="72">
        <f t="shared" si="17"/>
        <v>17740.7190116505</v>
      </c>
      <c r="M62" s="72">
        <f t="shared" si="17"/>
        <v>15990.7190116505</v>
      </c>
      <c r="N62" s="72">
        <f t="shared" si="17"/>
        <v>16282.7190116505</v>
      </c>
      <c r="O62" s="72">
        <f t="shared" si="17"/>
        <v>11380.7190116505</v>
      </c>
      <c r="P62" s="72">
        <f t="shared" si="17"/>
        <v>13880.7190116505</v>
      </c>
      <c r="Q62" s="72">
        <f t="shared" si="17"/>
        <v>14500.7190116505</v>
      </c>
      <c r="R62" s="72">
        <f t="shared" si="17"/>
        <v>13960.7190116505</v>
      </c>
      <c r="S62" s="89"/>
      <c r="T62" s="90"/>
      <c r="U62" s="90"/>
      <c r="V62" s="88"/>
    </row>
    <row r="63" s="42" customFormat="1" ht="23.25" customHeight="1" spans="1:22">
      <c r="A63" s="65">
        <v>58</v>
      </c>
      <c r="B63" s="82" t="s">
        <v>105</v>
      </c>
      <c r="C63" s="72">
        <f>C62*0.25</f>
        <v>42889.3249563107</v>
      </c>
      <c r="D63" s="72">
        <f t="shared" ref="D63:R63" si="18">D62*0.25</f>
        <v>4256.75925145631</v>
      </c>
      <c r="E63" s="72">
        <f t="shared" si="18"/>
        <v>47146.084207767</v>
      </c>
      <c r="F63" s="72">
        <f t="shared" si="2"/>
        <v>46982.6570349515</v>
      </c>
      <c r="G63" s="72">
        <f t="shared" si="18"/>
        <v>5032.67975291262</v>
      </c>
      <c r="H63" s="72">
        <f t="shared" si="18"/>
        <v>4215.17975291262</v>
      </c>
      <c r="I63" s="72">
        <f t="shared" si="18"/>
        <v>3805.17975291262</v>
      </c>
      <c r="J63" s="72">
        <f t="shared" si="18"/>
        <v>3960.17975291262</v>
      </c>
      <c r="K63" s="72">
        <f t="shared" si="18"/>
        <v>4035.17975291262</v>
      </c>
      <c r="L63" s="72">
        <f t="shared" si="18"/>
        <v>4435.17975291262</v>
      </c>
      <c r="M63" s="72">
        <f t="shared" si="18"/>
        <v>3997.67975291262</v>
      </c>
      <c r="N63" s="72">
        <f t="shared" si="18"/>
        <v>4070.67975291262</v>
      </c>
      <c r="O63" s="72">
        <f t="shared" si="18"/>
        <v>2845.17975291262</v>
      </c>
      <c r="P63" s="72">
        <f t="shared" si="18"/>
        <v>3470.17975291262</v>
      </c>
      <c r="Q63" s="72">
        <f t="shared" si="18"/>
        <v>3625.17975291262</v>
      </c>
      <c r="R63" s="72">
        <f t="shared" si="18"/>
        <v>3490.17975291262</v>
      </c>
      <c r="S63" s="89"/>
      <c r="T63" s="90"/>
      <c r="U63" s="90"/>
      <c r="V63" s="88"/>
    </row>
    <row r="64" s="42" customFormat="1" ht="23.25" customHeight="1" spans="1:22">
      <c r="A64" s="65">
        <v>59</v>
      </c>
      <c r="B64" s="66" t="s">
        <v>106</v>
      </c>
      <c r="C64" s="72">
        <f>C62-C63</f>
        <v>128667.974868932</v>
      </c>
      <c r="D64" s="72">
        <f t="shared" ref="D64:R64" si="19">D62-D63</f>
        <v>12770.2777543689</v>
      </c>
      <c r="E64" s="72">
        <f t="shared" si="19"/>
        <v>141438.252623301</v>
      </c>
      <c r="F64" s="72">
        <f t="shared" si="2"/>
        <v>140947.971104854</v>
      </c>
      <c r="G64" s="72">
        <f t="shared" si="19"/>
        <v>15098.0392587379</v>
      </c>
      <c r="H64" s="72">
        <f t="shared" si="19"/>
        <v>12645.5392587379</v>
      </c>
      <c r="I64" s="72">
        <f t="shared" si="19"/>
        <v>11415.5392587379</v>
      </c>
      <c r="J64" s="72">
        <f t="shared" si="19"/>
        <v>11880.5392587379</v>
      </c>
      <c r="K64" s="72">
        <f t="shared" si="19"/>
        <v>12105.5392587379</v>
      </c>
      <c r="L64" s="72">
        <f t="shared" si="19"/>
        <v>13305.5392587379</v>
      </c>
      <c r="M64" s="72">
        <f t="shared" si="19"/>
        <v>11993.0392587379</v>
      </c>
      <c r="N64" s="72">
        <f t="shared" si="19"/>
        <v>12212.0392587379</v>
      </c>
      <c r="O64" s="72">
        <f t="shared" si="19"/>
        <v>8535.53925873787</v>
      </c>
      <c r="P64" s="72">
        <f t="shared" si="19"/>
        <v>10410.5392587379</v>
      </c>
      <c r="Q64" s="72">
        <f t="shared" si="19"/>
        <v>10875.5392587379</v>
      </c>
      <c r="R64" s="72">
        <f t="shared" si="19"/>
        <v>10470.5392587379</v>
      </c>
      <c r="S64" s="89"/>
      <c r="T64" s="90"/>
      <c r="U64" s="90"/>
      <c r="V64" s="88"/>
    </row>
  </sheetData>
  <mergeCells count="6">
    <mergeCell ref="A1:P1"/>
    <mergeCell ref="A2:R2"/>
    <mergeCell ref="A3:A5"/>
    <mergeCell ref="B3:B5"/>
    <mergeCell ref="C3:E4"/>
    <mergeCell ref="F3:V4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V64"/>
  <sheetViews>
    <sheetView workbookViewId="0">
      <selection activeCell="B8" sqref="B8"/>
    </sheetView>
  </sheetViews>
  <sheetFormatPr defaultColWidth="9" defaultRowHeight="13.5"/>
  <cols>
    <col min="1" max="1" width="6.125" style="44" customWidth="1"/>
    <col min="2" max="2" width="44.5" style="45" customWidth="1"/>
    <col min="3" max="3" width="19.875" style="44" customWidth="1"/>
    <col min="4" max="4" width="15" style="44" customWidth="1"/>
    <col min="5" max="5" width="10.5" style="42" customWidth="1"/>
    <col min="6" max="6" width="11.125" style="42" customWidth="1"/>
    <col min="7" max="8" width="10.25" style="44" customWidth="1"/>
    <col min="9" max="19" width="11.625" style="44" customWidth="1"/>
    <col min="20" max="20" width="18.5" style="46" customWidth="1"/>
    <col min="21" max="21" width="13.625" style="46" customWidth="1"/>
    <col min="22" max="22" width="98.375" style="45" customWidth="1"/>
    <col min="23" max="16384" width="9" style="44"/>
  </cols>
  <sheetData>
    <row r="1" ht="25.5" spans="1:16">
      <c r="A1" s="47" t="s">
        <v>0</v>
      </c>
      <c r="B1" s="47"/>
      <c r="C1" s="47"/>
      <c r="D1" s="47"/>
      <c r="E1" s="48"/>
      <c r="F1" s="48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="40" customFormat="1" ht="20.25" spans="1:22">
      <c r="A2" s="49" t="s">
        <v>122</v>
      </c>
      <c r="B2" s="49"/>
      <c r="C2" s="49"/>
      <c r="D2" s="49"/>
      <c r="E2" s="50"/>
      <c r="F2" s="51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84"/>
      <c r="U2" s="84"/>
      <c r="V2" s="85"/>
    </row>
    <row r="3" s="41" customFormat="1" ht="23.25" customHeight="1" spans="1:22">
      <c r="A3" s="6" t="s">
        <v>2</v>
      </c>
      <c r="B3" s="7" t="s">
        <v>3</v>
      </c>
      <c r="C3" s="53" t="s">
        <v>4</v>
      </c>
      <c r="D3" s="54"/>
      <c r="E3" s="55"/>
      <c r="F3" s="56" t="s">
        <v>5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86"/>
    </row>
    <row r="4" s="41" customFormat="1" ht="31.5" customHeight="1" spans="1:22">
      <c r="A4" s="9"/>
      <c r="B4" s="10"/>
      <c r="C4" s="14"/>
      <c r="D4" s="58"/>
      <c r="E4" s="59"/>
      <c r="F4" s="60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87"/>
    </row>
    <row r="5" s="42" customFormat="1" ht="26.25" customHeight="1" spans="1:22">
      <c r="A5" s="12"/>
      <c r="B5" s="13"/>
      <c r="C5" s="62" t="s">
        <v>6</v>
      </c>
      <c r="D5" s="62" t="s">
        <v>113</v>
      </c>
      <c r="E5" s="62" t="s">
        <v>8</v>
      </c>
      <c r="F5" s="63" t="s">
        <v>9</v>
      </c>
      <c r="G5" s="64">
        <v>43101</v>
      </c>
      <c r="H5" s="64">
        <v>43132</v>
      </c>
      <c r="I5" s="64">
        <v>43160</v>
      </c>
      <c r="J5" s="64">
        <v>43191</v>
      </c>
      <c r="K5" s="64">
        <v>43221</v>
      </c>
      <c r="L5" s="64">
        <v>43252</v>
      </c>
      <c r="M5" s="64">
        <v>43282</v>
      </c>
      <c r="N5" s="64">
        <v>43313</v>
      </c>
      <c r="O5" s="64">
        <v>43344</v>
      </c>
      <c r="P5" s="64">
        <v>43374</v>
      </c>
      <c r="Q5" s="64">
        <v>43405</v>
      </c>
      <c r="R5" s="64">
        <v>43435</v>
      </c>
      <c r="S5" s="63" t="s">
        <v>10</v>
      </c>
      <c r="T5" s="63" t="s">
        <v>11</v>
      </c>
      <c r="U5" s="63" t="s">
        <v>12</v>
      </c>
      <c r="V5" s="88" t="s">
        <v>13</v>
      </c>
    </row>
    <row r="6" s="42" customFormat="1" ht="25.5" customHeight="1" spans="1:22">
      <c r="A6" s="65">
        <v>1</v>
      </c>
      <c r="B6" s="66" t="s">
        <v>14</v>
      </c>
      <c r="C6" s="67">
        <f>C7+C8+C9+C10+C11+C12+C13</f>
        <v>472350.51</v>
      </c>
      <c r="D6" s="67">
        <f t="shared" ref="D6:R6" si="0">D7+D8+D9+D10+D11+D12+D13</f>
        <v>42709.31</v>
      </c>
      <c r="E6" s="67">
        <f>C6+D6</f>
        <v>515059.82</v>
      </c>
      <c r="F6" s="67">
        <f t="shared" si="0"/>
        <v>512511.72</v>
      </c>
      <c r="G6" s="67">
        <f t="shared" si="0"/>
        <v>42709.31</v>
      </c>
      <c r="H6" s="67">
        <f t="shared" si="0"/>
        <v>42709.31</v>
      </c>
      <c r="I6" s="67">
        <f t="shared" si="0"/>
        <v>42709.31</v>
      </c>
      <c r="J6" s="67">
        <f t="shared" si="0"/>
        <v>42709.31</v>
      </c>
      <c r="K6" s="67">
        <f t="shared" si="0"/>
        <v>42709.31</v>
      </c>
      <c r="L6" s="67">
        <f t="shared" si="0"/>
        <v>42709.31</v>
      </c>
      <c r="M6" s="67">
        <f t="shared" si="0"/>
        <v>42709.31</v>
      </c>
      <c r="N6" s="67">
        <f t="shared" si="0"/>
        <v>42709.31</v>
      </c>
      <c r="O6" s="67">
        <f t="shared" si="0"/>
        <v>42709.31</v>
      </c>
      <c r="P6" s="67">
        <f t="shared" si="0"/>
        <v>42709.31</v>
      </c>
      <c r="Q6" s="67">
        <f t="shared" si="0"/>
        <v>42709.31</v>
      </c>
      <c r="R6" s="67">
        <f t="shared" si="0"/>
        <v>42709.31</v>
      </c>
      <c r="S6" s="89"/>
      <c r="T6" s="90"/>
      <c r="U6" s="90"/>
      <c r="V6" s="88" t="s">
        <v>15</v>
      </c>
    </row>
    <row r="7" ht="26.25" customHeight="1" spans="1:22">
      <c r="A7" s="18">
        <v>2</v>
      </c>
      <c r="B7" s="19" t="s">
        <v>16</v>
      </c>
      <c r="C7" s="68">
        <v>469802.41</v>
      </c>
      <c r="D7" s="102">
        <v>42709.31</v>
      </c>
      <c r="E7" s="67">
        <f t="shared" ref="E7:E61" si="1">C7+D7</f>
        <v>512511.72</v>
      </c>
      <c r="F7" s="67">
        <f>SUM(G7:R7)</f>
        <v>512511.72</v>
      </c>
      <c r="G7" s="68">
        <v>42709.31</v>
      </c>
      <c r="H7" s="68">
        <v>42709.31</v>
      </c>
      <c r="I7" s="68">
        <v>42709.31</v>
      </c>
      <c r="J7" s="68">
        <v>42709.31</v>
      </c>
      <c r="K7" s="68">
        <v>42709.31</v>
      </c>
      <c r="L7" s="68">
        <v>42709.31</v>
      </c>
      <c r="M7" s="68">
        <v>42709.31</v>
      </c>
      <c r="N7" s="68">
        <v>42709.31</v>
      </c>
      <c r="O7" s="68">
        <v>42709.31</v>
      </c>
      <c r="P7" s="68">
        <v>42709.31</v>
      </c>
      <c r="Q7" s="68">
        <v>42709.31</v>
      </c>
      <c r="R7" s="68">
        <v>42709.31</v>
      </c>
      <c r="S7" s="69"/>
      <c r="T7" s="91" t="s">
        <v>17</v>
      </c>
      <c r="U7" s="91" t="s">
        <v>18</v>
      </c>
      <c r="V7" s="92" t="s">
        <v>114</v>
      </c>
    </row>
    <row r="8" ht="26.25" customHeight="1" spans="1:22">
      <c r="A8" s="18">
        <v>3</v>
      </c>
      <c r="B8" s="19" t="s">
        <v>20</v>
      </c>
      <c r="C8" s="68">
        <v>580</v>
      </c>
      <c r="D8" s="102">
        <v>0</v>
      </c>
      <c r="E8" s="67">
        <f t="shared" si="1"/>
        <v>580</v>
      </c>
      <c r="F8" s="67">
        <f t="shared" ref="F8:F64" si="2">SUM(G8:R8)</f>
        <v>0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91" t="s">
        <v>17</v>
      </c>
      <c r="U8" s="91" t="s">
        <v>18</v>
      </c>
      <c r="V8" s="92" t="s">
        <v>115</v>
      </c>
    </row>
    <row r="9" ht="26.25" customHeight="1" spans="1:22">
      <c r="A9" s="18">
        <v>4</v>
      </c>
      <c r="B9" s="19" t="s">
        <v>22</v>
      </c>
      <c r="C9" s="68"/>
      <c r="D9" s="102"/>
      <c r="E9" s="67">
        <f t="shared" si="1"/>
        <v>0</v>
      </c>
      <c r="F9" s="67">
        <f t="shared" si="2"/>
        <v>0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91" t="s">
        <v>17</v>
      </c>
      <c r="U9" s="91" t="s">
        <v>18</v>
      </c>
      <c r="V9" s="92" t="s">
        <v>23</v>
      </c>
    </row>
    <row r="10" ht="30.75" customHeight="1" spans="1:22">
      <c r="A10" s="18">
        <v>5</v>
      </c>
      <c r="B10" s="19" t="s">
        <v>24</v>
      </c>
      <c r="C10" s="68"/>
      <c r="D10" s="102"/>
      <c r="E10" s="67">
        <f t="shared" si="1"/>
        <v>0</v>
      </c>
      <c r="F10" s="67">
        <f t="shared" si="2"/>
        <v>0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91" t="s">
        <v>17</v>
      </c>
      <c r="U10" s="91" t="s">
        <v>18</v>
      </c>
      <c r="V10" s="92" t="s">
        <v>25</v>
      </c>
    </row>
    <row r="11" ht="30" customHeight="1" spans="1:22">
      <c r="A11" s="18">
        <v>6</v>
      </c>
      <c r="B11" s="19" t="s">
        <v>26</v>
      </c>
      <c r="C11" s="68"/>
      <c r="D11" s="102"/>
      <c r="E11" s="67">
        <f t="shared" si="1"/>
        <v>0</v>
      </c>
      <c r="F11" s="67">
        <f t="shared" si="2"/>
        <v>0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91" t="s">
        <v>17</v>
      </c>
      <c r="U11" s="91" t="s">
        <v>18</v>
      </c>
      <c r="V11" s="92" t="s">
        <v>27</v>
      </c>
    </row>
    <row r="12" ht="23.25" customHeight="1" spans="1:22">
      <c r="A12" s="18">
        <v>7</v>
      </c>
      <c r="B12" s="19" t="s">
        <v>28</v>
      </c>
      <c r="C12" s="68"/>
      <c r="D12" s="102"/>
      <c r="E12" s="67">
        <f t="shared" si="1"/>
        <v>0</v>
      </c>
      <c r="F12" s="67">
        <f t="shared" si="2"/>
        <v>0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91" t="s">
        <v>17</v>
      </c>
      <c r="U12" s="91" t="s">
        <v>18</v>
      </c>
      <c r="V12" s="92" t="s">
        <v>29</v>
      </c>
    </row>
    <row r="13" s="43" customFormat="1" ht="23.25" customHeight="1" spans="1:22">
      <c r="A13" s="18">
        <v>8</v>
      </c>
      <c r="B13" s="19" t="s">
        <v>30</v>
      </c>
      <c r="C13" s="68">
        <v>1968.1</v>
      </c>
      <c r="D13" s="102"/>
      <c r="E13" s="67">
        <f t="shared" si="1"/>
        <v>1968.1</v>
      </c>
      <c r="F13" s="67">
        <f t="shared" si="2"/>
        <v>0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91" t="s">
        <v>17</v>
      </c>
      <c r="U13" s="91" t="s">
        <v>18</v>
      </c>
      <c r="V13" s="92" t="s">
        <v>31</v>
      </c>
    </row>
    <row r="14" s="42" customFormat="1" ht="28.5" customHeight="1" spans="1:22">
      <c r="A14" s="65">
        <v>9</v>
      </c>
      <c r="B14" s="66" t="s">
        <v>32</v>
      </c>
      <c r="C14" s="67">
        <f>C15+C16+C17+C18+C19+C20+C21+C22</f>
        <v>266885.85</v>
      </c>
      <c r="D14" s="67">
        <f t="shared" ref="D14:R14" si="3">D15+D16+D17+D18+D19+D20+D21+D22</f>
        <v>24983</v>
      </c>
      <c r="E14" s="67">
        <f t="shared" si="3"/>
        <v>291868.85</v>
      </c>
      <c r="F14" s="67">
        <f t="shared" si="2"/>
        <v>269157</v>
      </c>
      <c r="G14" s="67">
        <f t="shared" si="3"/>
        <v>21430</v>
      </c>
      <c r="H14" s="67">
        <f t="shared" si="3"/>
        <v>25270</v>
      </c>
      <c r="I14" s="67">
        <f t="shared" si="3"/>
        <v>21340</v>
      </c>
      <c r="J14" s="67">
        <f t="shared" si="3"/>
        <v>21620</v>
      </c>
      <c r="K14" s="67">
        <f t="shared" si="3"/>
        <v>20950</v>
      </c>
      <c r="L14" s="67">
        <f t="shared" si="3"/>
        <v>21280</v>
      </c>
      <c r="M14" s="67">
        <f t="shared" si="3"/>
        <v>22209</v>
      </c>
      <c r="N14" s="67">
        <f t="shared" si="3"/>
        <v>22408</v>
      </c>
      <c r="O14" s="67">
        <f t="shared" si="3"/>
        <v>24430</v>
      </c>
      <c r="P14" s="67">
        <f t="shared" si="3"/>
        <v>23040</v>
      </c>
      <c r="Q14" s="67">
        <f t="shared" si="3"/>
        <v>22790</v>
      </c>
      <c r="R14" s="67">
        <f t="shared" si="3"/>
        <v>22390</v>
      </c>
      <c r="S14" s="89"/>
      <c r="T14" s="90"/>
      <c r="U14" s="90" t="s">
        <v>18</v>
      </c>
      <c r="V14" s="88" t="s">
        <v>33</v>
      </c>
    </row>
    <row r="15" ht="29.25" customHeight="1" spans="1:22">
      <c r="A15" s="18">
        <v>10</v>
      </c>
      <c r="B15" s="19" t="s">
        <v>34</v>
      </c>
      <c r="C15" s="68">
        <v>257834</v>
      </c>
      <c r="D15" s="102">
        <v>24983</v>
      </c>
      <c r="E15" s="67">
        <f t="shared" si="1"/>
        <v>282817</v>
      </c>
      <c r="F15" s="67">
        <f t="shared" si="2"/>
        <v>256097</v>
      </c>
      <c r="G15" s="103">
        <v>21170</v>
      </c>
      <c r="H15" s="103">
        <v>21230</v>
      </c>
      <c r="I15" s="103">
        <v>20520</v>
      </c>
      <c r="J15" s="103">
        <v>20520</v>
      </c>
      <c r="K15" s="103">
        <v>20600</v>
      </c>
      <c r="L15" s="103">
        <v>20600</v>
      </c>
      <c r="M15" s="103">
        <v>21619</v>
      </c>
      <c r="N15" s="103">
        <v>21618</v>
      </c>
      <c r="O15" s="103">
        <v>22000</v>
      </c>
      <c r="P15" s="103">
        <v>22020</v>
      </c>
      <c r="Q15" s="103">
        <v>22100</v>
      </c>
      <c r="R15" s="103">
        <v>22100</v>
      </c>
      <c r="S15" s="69"/>
      <c r="T15" s="93" t="s">
        <v>35</v>
      </c>
      <c r="U15" s="91" t="s">
        <v>18</v>
      </c>
      <c r="V15" s="92" t="s">
        <v>116</v>
      </c>
    </row>
    <row r="16" ht="23.25" customHeight="1" spans="1:22">
      <c r="A16" s="18">
        <v>11</v>
      </c>
      <c r="B16" s="19" t="s">
        <v>117</v>
      </c>
      <c r="C16" s="68">
        <v>6194.35</v>
      </c>
      <c r="D16" s="102"/>
      <c r="E16" s="67">
        <f t="shared" si="1"/>
        <v>6194.35</v>
      </c>
      <c r="F16" s="67">
        <f t="shared" si="2"/>
        <v>7180</v>
      </c>
      <c r="G16" s="68"/>
      <c r="H16" s="68">
        <v>3780</v>
      </c>
      <c r="I16" s="68">
        <v>500</v>
      </c>
      <c r="J16" s="68">
        <v>0</v>
      </c>
      <c r="K16" s="68">
        <v>0</v>
      </c>
      <c r="L16" s="68">
        <v>390</v>
      </c>
      <c r="M16" s="68">
        <v>300</v>
      </c>
      <c r="N16" s="68"/>
      <c r="O16" s="68">
        <v>2080</v>
      </c>
      <c r="P16" s="68">
        <v>130</v>
      </c>
      <c r="Q16" s="68">
        <v>0</v>
      </c>
      <c r="R16" s="68"/>
      <c r="S16" s="69"/>
      <c r="T16" s="93" t="s">
        <v>35</v>
      </c>
      <c r="U16" s="91" t="s">
        <v>18</v>
      </c>
      <c r="V16" s="92" t="s">
        <v>38</v>
      </c>
    </row>
    <row r="17" ht="23.25" customHeight="1" spans="1:22">
      <c r="A17" s="18">
        <v>12</v>
      </c>
      <c r="B17" s="19" t="s">
        <v>39</v>
      </c>
      <c r="C17" s="68">
        <v>2730.5</v>
      </c>
      <c r="D17" s="102"/>
      <c r="E17" s="67">
        <f t="shared" si="1"/>
        <v>2730.5</v>
      </c>
      <c r="F17" s="67">
        <f t="shared" si="2"/>
        <v>3120</v>
      </c>
      <c r="G17" s="68">
        <v>260</v>
      </c>
      <c r="H17" s="68">
        <v>260</v>
      </c>
      <c r="I17" s="68">
        <v>260</v>
      </c>
      <c r="J17" s="68">
        <v>260</v>
      </c>
      <c r="K17" s="68">
        <v>260</v>
      </c>
      <c r="L17" s="68">
        <v>260</v>
      </c>
      <c r="M17" s="68">
        <v>260</v>
      </c>
      <c r="N17" s="68">
        <v>260</v>
      </c>
      <c r="O17" s="68">
        <v>260</v>
      </c>
      <c r="P17" s="68">
        <v>260</v>
      </c>
      <c r="Q17" s="68">
        <v>260</v>
      </c>
      <c r="R17" s="68">
        <v>260</v>
      </c>
      <c r="S17" s="69"/>
      <c r="T17" s="93" t="s">
        <v>40</v>
      </c>
      <c r="U17" s="91" t="s">
        <v>18</v>
      </c>
      <c r="V17" s="92" t="s">
        <v>41</v>
      </c>
    </row>
    <row r="18" ht="23.25" customHeight="1" spans="1:22">
      <c r="A18" s="18">
        <v>13</v>
      </c>
      <c r="B18" s="19" t="s">
        <v>42</v>
      </c>
      <c r="C18" s="68">
        <v>97</v>
      </c>
      <c r="D18" s="102"/>
      <c r="E18" s="67">
        <f t="shared" si="1"/>
        <v>97</v>
      </c>
      <c r="F18" s="67">
        <f t="shared" si="2"/>
        <v>120</v>
      </c>
      <c r="G18" s="68"/>
      <c r="H18" s="68"/>
      <c r="I18" s="68"/>
      <c r="J18" s="68"/>
      <c r="K18" s="68">
        <v>60</v>
      </c>
      <c r="L18" s="68"/>
      <c r="M18" s="68"/>
      <c r="N18" s="68"/>
      <c r="O18" s="68">
        <v>60</v>
      </c>
      <c r="P18" s="68"/>
      <c r="Q18" s="68"/>
      <c r="R18" s="68"/>
      <c r="S18" s="69"/>
      <c r="T18" s="93" t="s">
        <v>40</v>
      </c>
      <c r="U18" s="91" t="s">
        <v>18</v>
      </c>
      <c r="V18" s="92" t="s">
        <v>43</v>
      </c>
    </row>
    <row r="19" ht="30.75" customHeight="1" spans="1:22">
      <c r="A19" s="18">
        <v>14</v>
      </c>
      <c r="B19" s="19" t="s">
        <v>44</v>
      </c>
      <c r="C19" s="68">
        <v>30</v>
      </c>
      <c r="D19" s="102"/>
      <c r="E19" s="67">
        <f t="shared" si="1"/>
        <v>30</v>
      </c>
      <c r="F19" s="67">
        <f t="shared" si="2"/>
        <v>2040</v>
      </c>
      <c r="G19" s="68"/>
      <c r="H19" s="68"/>
      <c r="I19" s="68">
        <v>60</v>
      </c>
      <c r="J19" s="68">
        <v>840</v>
      </c>
      <c r="K19" s="68">
        <v>30</v>
      </c>
      <c r="L19" s="68">
        <v>30</v>
      </c>
      <c r="M19" s="68">
        <v>30</v>
      </c>
      <c r="N19" s="68">
        <v>530</v>
      </c>
      <c r="O19" s="68">
        <v>30</v>
      </c>
      <c r="P19" s="68">
        <v>30</v>
      </c>
      <c r="Q19" s="68">
        <v>430</v>
      </c>
      <c r="R19" s="68">
        <v>30</v>
      </c>
      <c r="S19" s="69"/>
      <c r="T19" s="93" t="s">
        <v>40</v>
      </c>
      <c r="U19" s="91" t="s">
        <v>18</v>
      </c>
      <c r="V19" s="92" t="s">
        <v>45</v>
      </c>
    </row>
    <row r="20" ht="23.25" customHeight="1" spans="1:22">
      <c r="A20" s="18">
        <v>15</v>
      </c>
      <c r="B20" s="19" t="s">
        <v>46</v>
      </c>
      <c r="C20" s="68"/>
      <c r="D20" s="102"/>
      <c r="E20" s="67">
        <f t="shared" si="1"/>
        <v>0</v>
      </c>
      <c r="F20" s="67">
        <f t="shared" si="2"/>
        <v>600</v>
      </c>
      <c r="G20" s="68"/>
      <c r="H20" s="68"/>
      <c r="I20" s="68"/>
      <c r="J20" s="68"/>
      <c r="K20" s="68"/>
      <c r="L20" s="68"/>
      <c r="M20" s="68"/>
      <c r="N20" s="68"/>
      <c r="O20" s="68"/>
      <c r="P20" s="68">
        <v>600</v>
      </c>
      <c r="Q20" s="68"/>
      <c r="R20" s="68"/>
      <c r="S20" s="69"/>
      <c r="T20" s="93" t="s">
        <v>40</v>
      </c>
      <c r="U20" s="91" t="s">
        <v>18</v>
      </c>
      <c r="V20" s="92" t="s">
        <v>47</v>
      </c>
    </row>
    <row r="21" ht="23.25" customHeight="1" spans="1:22">
      <c r="A21" s="18">
        <v>16</v>
      </c>
      <c r="B21" s="19" t="s">
        <v>118</v>
      </c>
      <c r="C21" s="68"/>
      <c r="D21" s="102"/>
      <c r="E21" s="67">
        <f t="shared" si="1"/>
        <v>0</v>
      </c>
      <c r="F21" s="67">
        <f t="shared" si="2"/>
        <v>0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93" t="s">
        <v>40</v>
      </c>
      <c r="U21" s="91" t="s">
        <v>18</v>
      </c>
      <c r="V21" s="92" t="s">
        <v>49</v>
      </c>
    </row>
    <row r="22" s="43" customFormat="1" ht="23.25" customHeight="1" spans="1:22">
      <c r="A22" s="18">
        <v>17</v>
      </c>
      <c r="B22" s="19" t="s">
        <v>50</v>
      </c>
      <c r="C22" s="68"/>
      <c r="D22" s="102"/>
      <c r="E22" s="67">
        <f t="shared" si="1"/>
        <v>0</v>
      </c>
      <c r="F22" s="67">
        <f t="shared" si="2"/>
        <v>0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93" t="s">
        <v>40</v>
      </c>
      <c r="U22" s="91" t="s">
        <v>18</v>
      </c>
      <c r="V22" s="92" t="s">
        <v>51</v>
      </c>
    </row>
    <row r="23" s="42" customFormat="1" ht="23.25" customHeight="1" spans="1:22">
      <c r="A23" s="65">
        <v>18</v>
      </c>
      <c r="B23" s="66" t="s">
        <v>52</v>
      </c>
      <c r="C23" s="72">
        <f>C24+C25+C26+C27+C28</f>
        <v>15344.513568932</v>
      </c>
      <c r="D23" s="72">
        <f t="shared" ref="D23:R23" si="4">D24+D25+D26+D27+D28</f>
        <v>1393.23574368932</v>
      </c>
      <c r="E23" s="72">
        <f t="shared" si="1"/>
        <v>16737.7493126214</v>
      </c>
      <c r="F23" s="72">
        <f t="shared" si="2"/>
        <v>33437.6578485437</v>
      </c>
      <c r="G23" s="72">
        <f t="shared" si="4"/>
        <v>2786.47148737864</v>
      </c>
      <c r="H23" s="72">
        <f t="shared" si="4"/>
        <v>2786.47148737864</v>
      </c>
      <c r="I23" s="72">
        <f t="shared" si="4"/>
        <v>2786.47148737864</v>
      </c>
      <c r="J23" s="72">
        <f t="shared" si="4"/>
        <v>2786.47148737864</v>
      </c>
      <c r="K23" s="72">
        <f t="shared" si="4"/>
        <v>2786.47148737864</v>
      </c>
      <c r="L23" s="72">
        <f t="shared" si="4"/>
        <v>2786.47148737864</v>
      </c>
      <c r="M23" s="72">
        <f t="shared" si="4"/>
        <v>2786.47148737864</v>
      </c>
      <c r="N23" s="72">
        <f t="shared" si="4"/>
        <v>2786.47148737864</v>
      </c>
      <c r="O23" s="72">
        <f t="shared" si="4"/>
        <v>2786.47148737864</v>
      </c>
      <c r="P23" s="72">
        <f t="shared" si="4"/>
        <v>2786.47148737864</v>
      </c>
      <c r="Q23" s="72">
        <f t="shared" si="4"/>
        <v>2786.47148737864</v>
      </c>
      <c r="R23" s="72">
        <f t="shared" si="4"/>
        <v>2786.47148737864</v>
      </c>
      <c r="S23" s="89"/>
      <c r="T23" s="90"/>
      <c r="U23" s="90" t="s">
        <v>18</v>
      </c>
      <c r="V23" s="88" t="s">
        <v>53</v>
      </c>
    </row>
    <row r="24" ht="23.25" customHeight="1" spans="1:22">
      <c r="A24" s="18">
        <v>19</v>
      </c>
      <c r="B24" s="19" t="s">
        <v>54</v>
      </c>
      <c r="C24" s="32">
        <f>(C7+C8)/1.03*0.03</f>
        <v>13700.4585436893</v>
      </c>
      <c r="D24" s="32">
        <f>(D7+D8)/1.03*0.03</f>
        <v>1243.96048543689</v>
      </c>
      <c r="E24" s="72">
        <f t="shared" si="1"/>
        <v>14944.4190291262</v>
      </c>
      <c r="F24" s="72">
        <f t="shared" si="2"/>
        <v>29855.0516504854</v>
      </c>
      <c r="G24" s="32">
        <f>(G7+G8)/1.03*0.06</f>
        <v>2487.92097087379</v>
      </c>
      <c r="H24" s="32">
        <f t="shared" ref="H24:R24" si="5">(H7+H8)/1.03*0.06</f>
        <v>2487.92097087379</v>
      </c>
      <c r="I24" s="32">
        <f t="shared" si="5"/>
        <v>2487.92097087379</v>
      </c>
      <c r="J24" s="32">
        <f t="shared" si="5"/>
        <v>2487.92097087379</v>
      </c>
      <c r="K24" s="32">
        <f t="shared" si="5"/>
        <v>2487.92097087379</v>
      </c>
      <c r="L24" s="32">
        <f t="shared" si="5"/>
        <v>2487.92097087379</v>
      </c>
      <c r="M24" s="32">
        <f t="shared" si="5"/>
        <v>2487.92097087379</v>
      </c>
      <c r="N24" s="32">
        <f t="shared" si="5"/>
        <v>2487.92097087379</v>
      </c>
      <c r="O24" s="32">
        <f t="shared" si="5"/>
        <v>2487.92097087379</v>
      </c>
      <c r="P24" s="32">
        <f t="shared" si="5"/>
        <v>2487.92097087379</v>
      </c>
      <c r="Q24" s="32">
        <f t="shared" si="5"/>
        <v>2487.92097087379</v>
      </c>
      <c r="R24" s="32">
        <f t="shared" si="5"/>
        <v>2487.92097087379</v>
      </c>
      <c r="S24" s="69"/>
      <c r="T24" s="91" t="s">
        <v>17</v>
      </c>
      <c r="U24" s="91" t="s">
        <v>18</v>
      </c>
      <c r="V24" s="92" t="s">
        <v>55</v>
      </c>
    </row>
    <row r="25" ht="23.25" customHeight="1" spans="1:22">
      <c r="A25" s="18">
        <v>20</v>
      </c>
      <c r="B25" s="19" t="s">
        <v>56</v>
      </c>
      <c r="C25" s="32">
        <f>C24*0.07</f>
        <v>959.032098058252</v>
      </c>
      <c r="D25" s="32">
        <f>D24*0.07</f>
        <v>87.0772339805825</v>
      </c>
      <c r="E25" s="72">
        <f t="shared" si="1"/>
        <v>1046.10933203883</v>
      </c>
      <c r="F25" s="72">
        <f t="shared" si="2"/>
        <v>2089.85361553398</v>
      </c>
      <c r="G25" s="32">
        <f t="shared" ref="G25:R25" si="6">G24*0.07</f>
        <v>174.154467961165</v>
      </c>
      <c r="H25" s="32">
        <f t="shared" si="6"/>
        <v>174.154467961165</v>
      </c>
      <c r="I25" s="32">
        <f t="shared" si="6"/>
        <v>174.154467961165</v>
      </c>
      <c r="J25" s="32">
        <f t="shared" si="6"/>
        <v>174.154467961165</v>
      </c>
      <c r="K25" s="32">
        <f t="shared" si="6"/>
        <v>174.154467961165</v>
      </c>
      <c r="L25" s="32">
        <f t="shared" si="6"/>
        <v>174.154467961165</v>
      </c>
      <c r="M25" s="32">
        <f t="shared" si="6"/>
        <v>174.154467961165</v>
      </c>
      <c r="N25" s="32">
        <f t="shared" si="6"/>
        <v>174.154467961165</v>
      </c>
      <c r="O25" s="32">
        <f t="shared" si="6"/>
        <v>174.154467961165</v>
      </c>
      <c r="P25" s="32">
        <f t="shared" si="6"/>
        <v>174.154467961165</v>
      </c>
      <c r="Q25" s="32">
        <f t="shared" si="6"/>
        <v>174.154467961165</v>
      </c>
      <c r="R25" s="32">
        <f t="shared" si="6"/>
        <v>174.154467961165</v>
      </c>
      <c r="S25" s="69"/>
      <c r="T25" s="91" t="s">
        <v>17</v>
      </c>
      <c r="U25" s="91" t="s">
        <v>18</v>
      </c>
      <c r="V25" s="92" t="s">
        <v>57</v>
      </c>
    </row>
    <row r="26" ht="23.25" customHeight="1" spans="1:22">
      <c r="A26" s="18">
        <v>21</v>
      </c>
      <c r="B26" s="19" t="s">
        <v>58</v>
      </c>
      <c r="C26" s="32">
        <f>C24*0.03</f>
        <v>411.01375631068</v>
      </c>
      <c r="D26" s="32">
        <f>D24*0.03</f>
        <v>37.3188145631068</v>
      </c>
      <c r="E26" s="72">
        <f t="shared" si="1"/>
        <v>448.332570873786</v>
      </c>
      <c r="F26" s="72">
        <f t="shared" si="2"/>
        <v>895.651549514563</v>
      </c>
      <c r="G26" s="32">
        <f t="shared" ref="G26:R26" si="7">G24*0.03</f>
        <v>74.6376291262136</v>
      </c>
      <c r="H26" s="32">
        <f t="shared" si="7"/>
        <v>74.6376291262136</v>
      </c>
      <c r="I26" s="32">
        <f t="shared" si="7"/>
        <v>74.6376291262136</v>
      </c>
      <c r="J26" s="32">
        <f t="shared" si="7"/>
        <v>74.6376291262136</v>
      </c>
      <c r="K26" s="32">
        <f t="shared" si="7"/>
        <v>74.6376291262136</v>
      </c>
      <c r="L26" s="32">
        <f t="shared" si="7"/>
        <v>74.6376291262136</v>
      </c>
      <c r="M26" s="32">
        <f t="shared" si="7"/>
        <v>74.6376291262136</v>
      </c>
      <c r="N26" s="32">
        <f t="shared" si="7"/>
        <v>74.6376291262136</v>
      </c>
      <c r="O26" s="32">
        <f t="shared" si="7"/>
        <v>74.6376291262136</v>
      </c>
      <c r="P26" s="32">
        <f t="shared" si="7"/>
        <v>74.6376291262136</v>
      </c>
      <c r="Q26" s="32">
        <f t="shared" si="7"/>
        <v>74.6376291262136</v>
      </c>
      <c r="R26" s="32">
        <f t="shared" si="7"/>
        <v>74.6376291262136</v>
      </c>
      <c r="S26" s="69"/>
      <c r="T26" s="91" t="s">
        <v>17</v>
      </c>
      <c r="U26" s="91" t="s">
        <v>18</v>
      </c>
      <c r="V26" s="92" t="s">
        <v>57</v>
      </c>
    </row>
    <row r="27" ht="23.25" customHeight="1" spans="1:22">
      <c r="A27" s="18">
        <v>22</v>
      </c>
      <c r="B27" s="19" t="s">
        <v>59</v>
      </c>
      <c r="C27" s="32">
        <f>C24*0.02</f>
        <v>274.009170873786</v>
      </c>
      <c r="D27" s="32">
        <f>D24*0.02</f>
        <v>24.8792097087379</v>
      </c>
      <c r="E27" s="72">
        <f t="shared" si="1"/>
        <v>298.888380582524</v>
      </c>
      <c r="F27" s="72">
        <f t="shared" si="2"/>
        <v>597.101033009709</v>
      </c>
      <c r="G27" s="32">
        <f t="shared" ref="G27:R27" si="8">G24*0.02</f>
        <v>49.7584194174757</v>
      </c>
      <c r="H27" s="32">
        <f t="shared" si="8"/>
        <v>49.7584194174757</v>
      </c>
      <c r="I27" s="32">
        <f t="shared" si="8"/>
        <v>49.7584194174757</v>
      </c>
      <c r="J27" s="32">
        <f t="shared" si="8"/>
        <v>49.7584194174757</v>
      </c>
      <c r="K27" s="32">
        <f t="shared" si="8"/>
        <v>49.7584194174757</v>
      </c>
      <c r="L27" s="32">
        <f t="shared" si="8"/>
        <v>49.7584194174757</v>
      </c>
      <c r="M27" s="32">
        <f t="shared" si="8"/>
        <v>49.7584194174757</v>
      </c>
      <c r="N27" s="32">
        <f t="shared" si="8"/>
        <v>49.7584194174757</v>
      </c>
      <c r="O27" s="32">
        <f t="shared" si="8"/>
        <v>49.7584194174757</v>
      </c>
      <c r="P27" s="32">
        <f t="shared" si="8"/>
        <v>49.7584194174757</v>
      </c>
      <c r="Q27" s="32">
        <f t="shared" si="8"/>
        <v>49.7584194174757</v>
      </c>
      <c r="R27" s="32">
        <f t="shared" si="8"/>
        <v>49.7584194174757</v>
      </c>
      <c r="S27" s="69"/>
      <c r="T27" s="91" t="s">
        <v>17</v>
      </c>
      <c r="U27" s="91" t="s">
        <v>18</v>
      </c>
      <c r="V27" s="92" t="s">
        <v>57</v>
      </c>
    </row>
    <row r="28" s="43" customFormat="1" ht="23.25" customHeight="1" spans="1:22">
      <c r="A28" s="18">
        <v>23</v>
      </c>
      <c r="B28" s="19" t="s">
        <v>60</v>
      </c>
      <c r="C28" s="70"/>
      <c r="D28" s="70"/>
      <c r="E28" s="67">
        <f t="shared" si="1"/>
        <v>0</v>
      </c>
      <c r="F28" s="67">
        <f t="shared" si="2"/>
        <v>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91" t="s">
        <v>17</v>
      </c>
      <c r="U28" s="91" t="s">
        <v>18</v>
      </c>
      <c r="V28" s="92" t="s">
        <v>51</v>
      </c>
    </row>
    <row r="29" s="42" customFormat="1" ht="41.25" customHeight="1" spans="1:22">
      <c r="A29" s="65">
        <v>24</v>
      </c>
      <c r="B29" s="66" t="s">
        <v>61</v>
      </c>
      <c r="C29" s="72">
        <f>C6-C14-C23</f>
        <v>190120.146431068</v>
      </c>
      <c r="D29" s="72">
        <f t="shared" ref="D29:R29" si="9">D6-D14-D23</f>
        <v>16333.0742563107</v>
      </c>
      <c r="E29" s="72">
        <f t="shared" si="9"/>
        <v>206453.220687379</v>
      </c>
      <c r="F29" s="72">
        <f t="shared" si="2"/>
        <v>209917.062151456</v>
      </c>
      <c r="G29" s="72">
        <f t="shared" si="9"/>
        <v>18492.8385126214</v>
      </c>
      <c r="H29" s="72">
        <f t="shared" si="9"/>
        <v>14652.8385126214</v>
      </c>
      <c r="I29" s="72">
        <f t="shared" si="9"/>
        <v>18582.8385126214</v>
      </c>
      <c r="J29" s="72">
        <f t="shared" si="9"/>
        <v>18302.8385126214</v>
      </c>
      <c r="K29" s="72">
        <f t="shared" si="9"/>
        <v>18972.8385126214</v>
      </c>
      <c r="L29" s="72">
        <f t="shared" si="9"/>
        <v>18642.8385126214</v>
      </c>
      <c r="M29" s="72">
        <f t="shared" si="9"/>
        <v>17713.8385126214</v>
      </c>
      <c r="N29" s="72">
        <f t="shared" si="9"/>
        <v>17514.8385126214</v>
      </c>
      <c r="O29" s="72">
        <f t="shared" si="9"/>
        <v>15492.8385126214</v>
      </c>
      <c r="P29" s="72">
        <f t="shared" si="9"/>
        <v>16882.8385126214</v>
      </c>
      <c r="Q29" s="72">
        <f t="shared" si="9"/>
        <v>17132.8385126214</v>
      </c>
      <c r="R29" s="72">
        <f t="shared" si="9"/>
        <v>17532.8385126214</v>
      </c>
      <c r="S29" s="89"/>
      <c r="T29" s="90"/>
      <c r="U29" s="90" t="s">
        <v>18</v>
      </c>
      <c r="V29" s="88"/>
    </row>
    <row r="30" s="42" customFormat="1" ht="27.75" customHeight="1" spans="1:22">
      <c r="A30" s="65">
        <v>25</v>
      </c>
      <c r="B30" s="66" t="s">
        <v>62</v>
      </c>
      <c r="C30" s="74">
        <f>C31+C32+C33+C34+C35+C38+C41+C47+C48+C49+C50+C51+C52</f>
        <v>57776.95</v>
      </c>
      <c r="D30" s="74">
        <f t="shared" ref="D30:R30" si="10">D31+D32+D33+D34+D35+D38+D41+D47+D48+D49+D50+D51+D52</f>
        <v>2990.78</v>
      </c>
      <c r="E30" s="74">
        <f t="shared" si="10"/>
        <v>60767.73</v>
      </c>
      <c r="F30" s="67">
        <f t="shared" si="2"/>
        <v>56131.35</v>
      </c>
      <c r="G30" s="74">
        <f t="shared" si="10"/>
        <v>4137.6125</v>
      </c>
      <c r="H30" s="74">
        <f t="shared" si="10"/>
        <v>4347.6125</v>
      </c>
      <c r="I30" s="74">
        <f t="shared" si="10"/>
        <v>4527.6125</v>
      </c>
      <c r="J30" s="74">
        <f t="shared" si="10"/>
        <v>6397.6125</v>
      </c>
      <c r="K30" s="74">
        <f t="shared" si="10"/>
        <v>4477.6125</v>
      </c>
      <c r="L30" s="74">
        <f t="shared" si="10"/>
        <v>5107.6125</v>
      </c>
      <c r="M30" s="74">
        <f t="shared" si="10"/>
        <v>4517.6125</v>
      </c>
      <c r="N30" s="74">
        <f t="shared" si="10"/>
        <v>4477.6125</v>
      </c>
      <c r="O30" s="74">
        <f t="shared" si="10"/>
        <v>4637.6125</v>
      </c>
      <c r="P30" s="74">
        <f t="shared" si="10"/>
        <v>4487.6125</v>
      </c>
      <c r="Q30" s="74">
        <f t="shared" si="10"/>
        <v>4477.6125</v>
      </c>
      <c r="R30" s="74">
        <f t="shared" si="10"/>
        <v>4537.6125</v>
      </c>
      <c r="S30" s="89"/>
      <c r="T30" s="90"/>
      <c r="U30" s="90" t="s">
        <v>18</v>
      </c>
      <c r="V30" s="88" t="s">
        <v>63</v>
      </c>
    </row>
    <row r="31" ht="23.25" customHeight="1" spans="1:22">
      <c r="A31" s="18">
        <v>26</v>
      </c>
      <c r="B31" s="19" t="s">
        <v>64</v>
      </c>
      <c r="C31" s="68"/>
      <c r="D31" s="102"/>
      <c r="E31" s="67">
        <f t="shared" si="1"/>
        <v>0</v>
      </c>
      <c r="F31" s="104">
        <f t="shared" si="2"/>
        <v>37600</v>
      </c>
      <c r="G31" s="68">
        <v>2800</v>
      </c>
      <c r="H31" s="68">
        <f>2800</f>
        <v>2800</v>
      </c>
      <c r="I31" s="68">
        <v>3200</v>
      </c>
      <c r="J31" s="68">
        <v>3200</v>
      </c>
      <c r="K31" s="68">
        <v>3200</v>
      </c>
      <c r="L31" s="68">
        <v>3200</v>
      </c>
      <c r="M31" s="68">
        <v>3200</v>
      </c>
      <c r="N31" s="68">
        <v>3200</v>
      </c>
      <c r="O31" s="68">
        <v>3200</v>
      </c>
      <c r="P31" s="68">
        <v>3200</v>
      </c>
      <c r="Q31" s="68">
        <v>3200</v>
      </c>
      <c r="R31" s="68">
        <v>3200</v>
      </c>
      <c r="S31" s="69"/>
      <c r="T31" s="93" t="s">
        <v>35</v>
      </c>
      <c r="U31" s="91" t="s">
        <v>18</v>
      </c>
      <c r="V31" s="92" t="s">
        <v>119</v>
      </c>
    </row>
    <row r="32" ht="30.75" customHeight="1" spans="1:22">
      <c r="A32" s="18">
        <v>27</v>
      </c>
      <c r="B32" s="19" t="s">
        <v>66</v>
      </c>
      <c r="C32" s="68">
        <v>11392.22</v>
      </c>
      <c r="D32" s="102">
        <v>981.79</v>
      </c>
      <c r="E32" s="67">
        <f t="shared" si="1"/>
        <v>12374.01</v>
      </c>
      <c r="F32" s="67">
        <f t="shared" si="2"/>
        <v>13603.35</v>
      </c>
      <c r="G32" s="105">
        <f>985.75*1*1.15</f>
        <v>1133.6125</v>
      </c>
      <c r="H32" s="68">
        <f t="shared" ref="H32:R32" si="11">985.75*1*1.15</f>
        <v>1133.6125</v>
      </c>
      <c r="I32" s="68">
        <f t="shared" si="11"/>
        <v>1133.6125</v>
      </c>
      <c r="J32" s="68">
        <f t="shared" si="11"/>
        <v>1133.6125</v>
      </c>
      <c r="K32" s="68">
        <f t="shared" si="11"/>
        <v>1133.6125</v>
      </c>
      <c r="L32" s="68">
        <f t="shared" si="11"/>
        <v>1133.6125</v>
      </c>
      <c r="M32" s="68">
        <f t="shared" si="11"/>
        <v>1133.6125</v>
      </c>
      <c r="N32" s="68">
        <f t="shared" si="11"/>
        <v>1133.6125</v>
      </c>
      <c r="O32" s="68">
        <f t="shared" si="11"/>
        <v>1133.6125</v>
      </c>
      <c r="P32" s="68">
        <f t="shared" si="11"/>
        <v>1133.6125</v>
      </c>
      <c r="Q32" s="68">
        <f t="shared" si="11"/>
        <v>1133.6125</v>
      </c>
      <c r="R32" s="68">
        <f t="shared" si="11"/>
        <v>1133.6125</v>
      </c>
      <c r="S32" s="69"/>
      <c r="T32" s="93" t="s">
        <v>35</v>
      </c>
      <c r="U32" s="91" t="s">
        <v>18</v>
      </c>
      <c r="V32" s="92" t="s">
        <v>67</v>
      </c>
    </row>
    <row r="33" ht="36.75" customHeight="1" spans="1:22">
      <c r="A33" s="18">
        <v>28</v>
      </c>
      <c r="B33" s="19" t="s">
        <v>68</v>
      </c>
      <c r="C33" s="68"/>
      <c r="D33" s="102"/>
      <c r="E33" s="67">
        <f t="shared" si="1"/>
        <v>0</v>
      </c>
      <c r="F33" s="104">
        <f t="shared" si="2"/>
        <v>520</v>
      </c>
      <c r="G33" s="68"/>
      <c r="H33" s="68">
        <v>270</v>
      </c>
      <c r="I33" s="68">
        <v>50</v>
      </c>
      <c r="J33" s="68">
        <v>0</v>
      </c>
      <c r="K33" s="68">
        <v>0</v>
      </c>
      <c r="L33" s="68">
        <v>30</v>
      </c>
      <c r="M33" s="68">
        <v>0</v>
      </c>
      <c r="N33" s="68">
        <v>0</v>
      </c>
      <c r="O33" s="68">
        <v>160</v>
      </c>
      <c r="P33" s="68">
        <v>10</v>
      </c>
      <c r="Q33" s="68">
        <v>0</v>
      </c>
      <c r="R33" s="68">
        <v>0</v>
      </c>
      <c r="S33" s="69"/>
      <c r="T33" s="93" t="s">
        <v>35</v>
      </c>
      <c r="U33" s="91" t="s">
        <v>18</v>
      </c>
      <c r="V33" s="92" t="s">
        <v>69</v>
      </c>
    </row>
    <row r="34" s="39" customFormat="1" ht="36.75" customHeight="1" spans="1:22">
      <c r="A34" s="18">
        <v>29</v>
      </c>
      <c r="B34" s="19" t="s">
        <v>70</v>
      </c>
      <c r="C34" s="68">
        <v>40</v>
      </c>
      <c r="D34" s="102"/>
      <c r="E34" s="67">
        <f t="shared" si="1"/>
        <v>40</v>
      </c>
      <c r="F34" s="67">
        <f t="shared" si="2"/>
        <v>160</v>
      </c>
      <c r="G34" s="68">
        <v>60</v>
      </c>
      <c r="H34" s="68"/>
      <c r="I34" s="68"/>
      <c r="J34" s="68"/>
      <c r="K34" s="68"/>
      <c r="L34" s="68"/>
      <c r="M34" s="68">
        <v>40</v>
      </c>
      <c r="N34" s="68"/>
      <c r="O34" s="68"/>
      <c r="P34" s="68"/>
      <c r="Q34" s="68"/>
      <c r="R34" s="68">
        <v>60</v>
      </c>
      <c r="S34" s="69"/>
      <c r="T34" s="93" t="s">
        <v>40</v>
      </c>
      <c r="U34" s="91" t="s">
        <v>18</v>
      </c>
      <c r="V34" s="92" t="s">
        <v>71</v>
      </c>
    </row>
    <row r="35" s="42" customFormat="1" ht="25.5" customHeight="1" spans="1:22">
      <c r="A35" s="65">
        <v>30</v>
      </c>
      <c r="B35" s="66" t="s">
        <v>72</v>
      </c>
      <c r="C35" s="67">
        <f>C36+C37</f>
        <v>0</v>
      </c>
      <c r="D35" s="67">
        <f t="shared" ref="D35:R35" si="12">D36+D37</f>
        <v>0</v>
      </c>
      <c r="E35" s="67">
        <f t="shared" si="12"/>
        <v>0</v>
      </c>
      <c r="F35" s="67">
        <f t="shared" si="2"/>
        <v>0</v>
      </c>
      <c r="G35" s="67">
        <f t="shared" si="12"/>
        <v>0</v>
      </c>
      <c r="H35" s="67">
        <f t="shared" si="12"/>
        <v>0</v>
      </c>
      <c r="I35" s="67">
        <f t="shared" si="12"/>
        <v>0</v>
      </c>
      <c r="J35" s="67">
        <f t="shared" si="12"/>
        <v>0</v>
      </c>
      <c r="K35" s="67">
        <f t="shared" si="12"/>
        <v>0</v>
      </c>
      <c r="L35" s="67">
        <f t="shared" si="12"/>
        <v>0</v>
      </c>
      <c r="M35" s="67">
        <f t="shared" si="12"/>
        <v>0</v>
      </c>
      <c r="N35" s="67">
        <f t="shared" si="12"/>
        <v>0</v>
      </c>
      <c r="O35" s="67">
        <f t="shared" si="12"/>
        <v>0</v>
      </c>
      <c r="P35" s="67">
        <f t="shared" si="12"/>
        <v>0</v>
      </c>
      <c r="Q35" s="67">
        <f t="shared" si="12"/>
        <v>0</v>
      </c>
      <c r="R35" s="67">
        <f t="shared" si="12"/>
        <v>0</v>
      </c>
      <c r="S35" s="89"/>
      <c r="T35" s="90"/>
      <c r="U35" s="90"/>
      <c r="V35" s="88"/>
    </row>
    <row r="36" s="101" customFormat="1" ht="25.5" customHeight="1" spans="1:22">
      <c r="A36" s="30">
        <v>31</v>
      </c>
      <c r="B36" s="28" t="s">
        <v>74</v>
      </c>
      <c r="C36" s="76"/>
      <c r="D36" s="76"/>
      <c r="E36" s="78">
        <f t="shared" si="1"/>
        <v>0</v>
      </c>
      <c r="F36" s="78">
        <f t="shared" si="2"/>
        <v>0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91" t="s">
        <v>40</v>
      </c>
      <c r="U36" s="91" t="s">
        <v>18</v>
      </c>
      <c r="V36" s="106" t="s">
        <v>73</v>
      </c>
    </row>
    <row r="37" s="101" customFormat="1" ht="25.5" customHeight="1" spans="1:22">
      <c r="A37" s="30">
        <v>32</v>
      </c>
      <c r="B37" s="28" t="s">
        <v>75</v>
      </c>
      <c r="C37" s="76"/>
      <c r="D37" s="76"/>
      <c r="E37" s="78">
        <f t="shared" si="1"/>
        <v>0</v>
      </c>
      <c r="F37" s="78">
        <f t="shared" si="2"/>
        <v>0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91"/>
      <c r="U37" s="91" t="s">
        <v>18</v>
      </c>
      <c r="V37" s="106"/>
    </row>
    <row r="38" s="42" customFormat="1" ht="25.5" customHeight="1" spans="1:22">
      <c r="A38" s="65">
        <v>33</v>
      </c>
      <c r="B38" s="66" t="s">
        <v>76</v>
      </c>
      <c r="C38" s="74">
        <f>C39+C40</f>
        <v>0</v>
      </c>
      <c r="D38" s="74">
        <f t="shared" ref="D38:R38" si="13">D39+D40</f>
        <v>0</v>
      </c>
      <c r="E38" s="74">
        <f t="shared" si="13"/>
        <v>0</v>
      </c>
      <c r="F38" s="67">
        <f t="shared" si="2"/>
        <v>0</v>
      </c>
      <c r="G38" s="74">
        <f t="shared" si="13"/>
        <v>0</v>
      </c>
      <c r="H38" s="74">
        <f t="shared" si="13"/>
        <v>0</v>
      </c>
      <c r="I38" s="74">
        <f t="shared" si="13"/>
        <v>0</v>
      </c>
      <c r="J38" s="74">
        <f t="shared" si="13"/>
        <v>0</v>
      </c>
      <c r="K38" s="74">
        <f t="shared" si="13"/>
        <v>0</v>
      </c>
      <c r="L38" s="74">
        <f t="shared" si="13"/>
        <v>0</v>
      </c>
      <c r="M38" s="74">
        <f t="shared" si="13"/>
        <v>0</v>
      </c>
      <c r="N38" s="74">
        <f t="shared" si="13"/>
        <v>0</v>
      </c>
      <c r="O38" s="74">
        <f t="shared" si="13"/>
        <v>0</v>
      </c>
      <c r="P38" s="74">
        <f t="shared" si="13"/>
        <v>0</v>
      </c>
      <c r="Q38" s="74">
        <f t="shared" si="13"/>
        <v>0</v>
      </c>
      <c r="R38" s="74">
        <f t="shared" si="13"/>
        <v>0</v>
      </c>
      <c r="S38" s="89"/>
      <c r="T38" s="90"/>
      <c r="U38" s="90" t="s">
        <v>18</v>
      </c>
      <c r="V38" s="88"/>
    </row>
    <row r="39" s="101" customFormat="1" ht="25.5" customHeight="1" spans="1:22">
      <c r="A39" s="30">
        <v>34</v>
      </c>
      <c r="B39" s="28" t="s">
        <v>77</v>
      </c>
      <c r="C39" s="76"/>
      <c r="D39" s="76"/>
      <c r="E39" s="78">
        <f t="shared" si="1"/>
        <v>0</v>
      </c>
      <c r="F39" s="78">
        <f t="shared" si="2"/>
        <v>0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91"/>
      <c r="U39" s="91" t="s">
        <v>18</v>
      </c>
      <c r="V39" s="106"/>
    </row>
    <row r="40" s="101" customFormat="1" ht="34.5" customHeight="1" spans="1:22">
      <c r="A40" s="30">
        <v>35</v>
      </c>
      <c r="B40" s="28" t="s">
        <v>78</v>
      </c>
      <c r="C40" s="76"/>
      <c r="D40" s="76"/>
      <c r="E40" s="78">
        <f t="shared" si="1"/>
        <v>0</v>
      </c>
      <c r="F40" s="78">
        <f t="shared" si="2"/>
        <v>0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91"/>
      <c r="U40" s="91" t="s">
        <v>18</v>
      </c>
      <c r="V40" s="106"/>
    </row>
    <row r="41" s="42" customFormat="1" ht="34.5" customHeight="1" spans="1:22">
      <c r="A41" s="65">
        <v>36</v>
      </c>
      <c r="B41" s="66" t="s">
        <v>79</v>
      </c>
      <c r="C41" s="67">
        <f>C42+C43+C44+C45+C46</f>
        <v>1728</v>
      </c>
      <c r="D41" s="67">
        <f t="shared" ref="D41:R41" si="14">D42+D43+D44+D45+D46</f>
        <v>0</v>
      </c>
      <c r="E41" s="67">
        <f t="shared" si="14"/>
        <v>1728</v>
      </c>
      <c r="F41" s="67">
        <f t="shared" si="2"/>
        <v>2928</v>
      </c>
      <c r="G41" s="67">
        <f t="shared" si="14"/>
        <v>144</v>
      </c>
      <c r="H41" s="67">
        <f t="shared" si="14"/>
        <v>144</v>
      </c>
      <c r="I41" s="67">
        <f t="shared" si="14"/>
        <v>144</v>
      </c>
      <c r="J41" s="67">
        <f t="shared" si="14"/>
        <v>744</v>
      </c>
      <c r="K41" s="67">
        <f t="shared" si="14"/>
        <v>144</v>
      </c>
      <c r="L41" s="67">
        <f t="shared" si="14"/>
        <v>744</v>
      </c>
      <c r="M41" s="67">
        <f t="shared" si="14"/>
        <v>144</v>
      </c>
      <c r="N41" s="67">
        <f t="shared" si="14"/>
        <v>144</v>
      </c>
      <c r="O41" s="67">
        <f t="shared" si="14"/>
        <v>144</v>
      </c>
      <c r="P41" s="67">
        <f t="shared" si="14"/>
        <v>144</v>
      </c>
      <c r="Q41" s="67">
        <f t="shared" si="14"/>
        <v>144</v>
      </c>
      <c r="R41" s="67">
        <f t="shared" si="14"/>
        <v>144</v>
      </c>
      <c r="S41" s="89"/>
      <c r="T41" s="90"/>
      <c r="U41" s="90" t="s">
        <v>18</v>
      </c>
      <c r="V41" s="88" t="s">
        <v>80</v>
      </c>
    </row>
    <row r="42" s="101" customFormat="1" ht="34.5" customHeight="1" spans="1:22">
      <c r="A42" s="30">
        <v>37</v>
      </c>
      <c r="B42" s="28" t="s">
        <v>81</v>
      </c>
      <c r="C42" s="68">
        <v>1728</v>
      </c>
      <c r="D42" s="102"/>
      <c r="E42" s="67">
        <f t="shared" si="1"/>
        <v>1728</v>
      </c>
      <c r="F42" s="67">
        <f t="shared" si="2"/>
        <v>2328</v>
      </c>
      <c r="G42" s="68">
        <v>144</v>
      </c>
      <c r="H42" s="68">
        <v>144</v>
      </c>
      <c r="I42" s="68">
        <v>144</v>
      </c>
      <c r="J42" s="68">
        <v>744</v>
      </c>
      <c r="K42" s="68">
        <v>144</v>
      </c>
      <c r="L42" s="68">
        <v>144</v>
      </c>
      <c r="M42" s="68">
        <v>144</v>
      </c>
      <c r="N42" s="68">
        <v>144</v>
      </c>
      <c r="O42" s="68">
        <v>144</v>
      </c>
      <c r="P42" s="68">
        <v>144</v>
      </c>
      <c r="Q42" s="68">
        <v>144</v>
      </c>
      <c r="R42" s="68">
        <v>144</v>
      </c>
      <c r="S42" s="77"/>
      <c r="T42" s="91" t="s">
        <v>40</v>
      </c>
      <c r="U42" s="91" t="s">
        <v>18</v>
      </c>
      <c r="V42" s="106"/>
    </row>
    <row r="43" s="101" customFormat="1" ht="34.5" customHeight="1" spans="1:22">
      <c r="A43" s="30">
        <v>38</v>
      </c>
      <c r="B43" s="28" t="s">
        <v>82</v>
      </c>
      <c r="C43" s="68"/>
      <c r="D43" s="102"/>
      <c r="E43" s="67">
        <f t="shared" si="1"/>
        <v>0</v>
      </c>
      <c r="F43" s="67">
        <f t="shared" si="2"/>
        <v>600</v>
      </c>
      <c r="G43" s="68"/>
      <c r="H43" s="68"/>
      <c r="I43" s="68"/>
      <c r="J43" s="68"/>
      <c r="K43" s="68"/>
      <c r="L43" s="68">
        <v>600</v>
      </c>
      <c r="M43" s="68"/>
      <c r="N43" s="68"/>
      <c r="O43" s="68"/>
      <c r="P43" s="68"/>
      <c r="Q43" s="68"/>
      <c r="R43" s="68"/>
      <c r="S43" s="77"/>
      <c r="T43" s="91" t="s">
        <v>40</v>
      </c>
      <c r="U43" s="91" t="s">
        <v>18</v>
      </c>
      <c r="V43" s="106"/>
    </row>
    <row r="44" s="101" customFormat="1" ht="34.5" customHeight="1" spans="1:22">
      <c r="A44" s="30">
        <v>39</v>
      </c>
      <c r="B44" s="28" t="s">
        <v>83</v>
      </c>
      <c r="C44" s="68"/>
      <c r="D44" s="102"/>
      <c r="E44" s="67">
        <f t="shared" si="1"/>
        <v>0</v>
      </c>
      <c r="F44" s="67">
        <f t="shared" si="2"/>
        <v>0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77"/>
      <c r="T44" s="91" t="s">
        <v>40</v>
      </c>
      <c r="U44" s="91" t="s">
        <v>18</v>
      </c>
      <c r="V44" s="106"/>
    </row>
    <row r="45" s="101" customFormat="1" ht="34.5" customHeight="1" spans="1:22">
      <c r="A45" s="30">
        <v>40</v>
      </c>
      <c r="B45" s="28" t="s">
        <v>84</v>
      </c>
      <c r="C45" s="68"/>
      <c r="D45" s="102"/>
      <c r="E45" s="67">
        <f t="shared" si="1"/>
        <v>0</v>
      </c>
      <c r="F45" s="67">
        <f t="shared" si="2"/>
        <v>0</v>
      </c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77"/>
      <c r="T45" s="91" t="s">
        <v>40</v>
      </c>
      <c r="U45" s="91" t="s">
        <v>18</v>
      </c>
      <c r="V45" s="106"/>
    </row>
    <row r="46" s="101" customFormat="1" ht="24.75" customHeight="1" spans="1:22">
      <c r="A46" s="30">
        <v>41</v>
      </c>
      <c r="B46" s="28" t="s">
        <v>85</v>
      </c>
      <c r="C46" s="68"/>
      <c r="D46" s="102"/>
      <c r="E46" s="67">
        <f t="shared" si="1"/>
        <v>0</v>
      </c>
      <c r="F46" s="67">
        <f t="shared" si="2"/>
        <v>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77"/>
      <c r="T46" s="91" t="s">
        <v>35</v>
      </c>
      <c r="U46" s="91" t="s">
        <v>18</v>
      </c>
      <c r="V46" s="106"/>
    </row>
    <row r="47" ht="20.25" customHeight="1" spans="1:22">
      <c r="A47" s="18">
        <v>42</v>
      </c>
      <c r="B47" s="19" t="s">
        <v>86</v>
      </c>
      <c r="C47" s="68"/>
      <c r="D47" s="102"/>
      <c r="E47" s="67">
        <f t="shared" si="1"/>
        <v>0</v>
      </c>
      <c r="F47" s="67">
        <f t="shared" si="2"/>
        <v>0</v>
      </c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9"/>
      <c r="T47" s="93" t="s">
        <v>40</v>
      </c>
      <c r="U47" s="91" t="s">
        <v>18</v>
      </c>
      <c r="V47" s="92" t="s">
        <v>80</v>
      </c>
    </row>
    <row r="48" ht="24" customHeight="1" spans="1:22">
      <c r="A48" s="18">
        <v>43</v>
      </c>
      <c r="B48" s="19" t="s">
        <v>87</v>
      </c>
      <c r="C48" s="68"/>
      <c r="D48" s="102"/>
      <c r="E48" s="67">
        <f t="shared" si="1"/>
        <v>0</v>
      </c>
      <c r="F48" s="67">
        <f t="shared" si="2"/>
        <v>0</v>
      </c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9"/>
      <c r="T48" s="93" t="s">
        <v>40</v>
      </c>
      <c r="U48" s="91" t="s">
        <v>18</v>
      </c>
      <c r="V48" s="92" t="s">
        <v>80</v>
      </c>
    </row>
    <row r="49" ht="23.25" customHeight="1" spans="1:22">
      <c r="A49" s="18">
        <v>44</v>
      </c>
      <c r="B49" s="19" t="s">
        <v>88</v>
      </c>
      <c r="C49" s="68"/>
      <c r="D49" s="102"/>
      <c r="E49" s="67">
        <f t="shared" si="1"/>
        <v>0</v>
      </c>
      <c r="F49" s="67">
        <f t="shared" si="2"/>
        <v>0</v>
      </c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9"/>
      <c r="T49" s="93" t="s">
        <v>40</v>
      </c>
      <c r="U49" s="91" t="s">
        <v>18</v>
      </c>
      <c r="V49" s="92" t="s">
        <v>80</v>
      </c>
    </row>
    <row r="50" ht="23.25" customHeight="1" spans="1:22">
      <c r="A50" s="18">
        <v>45</v>
      </c>
      <c r="B50" s="19" t="s">
        <v>89</v>
      </c>
      <c r="C50" s="68">
        <v>0</v>
      </c>
      <c r="D50" s="102"/>
      <c r="E50" s="67">
        <f t="shared" si="1"/>
        <v>0</v>
      </c>
      <c r="F50" s="67">
        <f t="shared" si="2"/>
        <v>0</v>
      </c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9"/>
      <c r="T50" s="93" t="s">
        <v>40</v>
      </c>
      <c r="U50" s="91" t="s">
        <v>18</v>
      </c>
      <c r="V50" s="92" t="s">
        <v>80</v>
      </c>
    </row>
    <row r="51" ht="23.25" customHeight="1" spans="1:22">
      <c r="A51" s="18">
        <v>46</v>
      </c>
      <c r="B51" s="19" t="s">
        <v>90</v>
      </c>
      <c r="C51" s="68">
        <v>620</v>
      </c>
      <c r="D51" s="102"/>
      <c r="E51" s="67">
        <f t="shared" si="1"/>
        <v>620</v>
      </c>
      <c r="F51" s="67">
        <f t="shared" si="2"/>
        <v>1320</v>
      </c>
      <c r="G51" s="68"/>
      <c r="H51" s="68"/>
      <c r="I51" s="68"/>
      <c r="J51" s="68">
        <f>800+95*4+140</f>
        <v>1320</v>
      </c>
      <c r="K51" s="68"/>
      <c r="L51" s="68"/>
      <c r="M51" s="68"/>
      <c r="N51" s="68"/>
      <c r="O51" s="68"/>
      <c r="P51" s="68"/>
      <c r="Q51" s="68"/>
      <c r="R51" s="68"/>
      <c r="S51" s="69"/>
      <c r="T51" s="93" t="s">
        <v>91</v>
      </c>
      <c r="U51" s="91" t="s">
        <v>18</v>
      </c>
      <c r="V51" s="92" t="s">
        <v>92</v>
      </c>
    </row>
    <row r="52" s="43" customFormat="1" ht="23.25" customHeight="1" spans="1:22">
      <c r="A52" s="18">
        <v>47</v>
      </c>
      <c r="B52" s="19" t="s">
        <v>93</v>
      </c>
      <c r="C52" s="68">
        <v>43996.73</v>
      </c>
      <c r="D52" s="102">
        <v>2008.99</v>
      </c>
      <c r="E52" s="67">
        <f t="shared" si="1"/>
        <v>46005.72</v>
      </c>
      <c r="F52" s="67">
        <f t="shared" si="2"/>
        <v>0</v>
      </c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9"/>
      <c r="T52" s="93"/>
      <c r="U52" s="91" t="s">
        <v>18</v>
      </c>
      <c r="V52" s="92" t="s">
        <v>51</v>
      </c>
    </row>
    <row r="53" s="42" customFormat="1" ht="23.25" customHeight="1" spans="1:22">
      <c r="A53" s="65">
        <v>48</v>
      </c>
      <c r="B53" s="66" t="s">
        <v>94</v>
      </c>
      <c r="C53" s="67">
        <f>C54+C55+C56</f>
        <v>0</v>
      </c>
      <c r="D53" s="67">
        <f t="shared" ref="D53:R53" si="15">D54+D55+D56</f>
        <v>0</v>
      </c>
      <c r="E53" s="67">
        <f t="shared" si="15"/>
        <v>0</v>
      </c>
      <c r="F53" s="67">
        <f t="shared" si="2"/>
        <v>0</v>
      </c>
      <c r="G53" s="67">
        <f t="shared" si="15"/>
        <v>0</v>
      </c>
      <c r="H53" s="67">
        <f t="shared" si="15"/>
        <v>0</v>
      </c>
      <c r="I53" s="67">
        <f t="shared" si="15"/>
        <v>0</v>
      </c>
      <c r="J53" s="67">
        <f t="shared" si="15"/>
        <v>0</v>
      </c>
      <c r="K53" s="67">
        <f t="shared" si="15"/>
        <v>0</v>
      </c>
      <c r="L53" s="67">
        <f t="shared" si="15"/>
        <v>0</v>
      </c>
      <c r="M53" s="67">
        <f t="shared" si="15"/>
        <v>0</v>
      </c>
      <c r="N53" s="67">
        <f t="shared" si="15"/>
        <v>0</v>
      </c>
      <c r="O53" s="67">
        <f t="shared" si="15"/>
        <v>0</v>
      </c>
      <c r="P53" s="67">
        <f t="shared" si="15"/>
        <v>0</v>
      </c>
      <c r="Q53" s="67">
        <f t="shared" si="15"/>
        <v>0</v>
      </c>
      <c r="R53" s="67">
        <f t="shared" si="15"/>
        <v>0</v>
      </c>
      <c r="S53" s="89"/>
      <c r="T53" s="90"/>
      <c r="U53" s="90" t="s">
        <v>18</v>
      </c>
      <c r="V53" s="88" t="s">
        <v>95</v>
      </c>
    </row>
    <row r="54" ht="23.25" customHeight="1" spans="1:22">
      <c r="A54" s="18">
        <v>49</v>
      </c>
      <c r="B54" s="19" t="s">
        <v>96</v>
      </c>
      <c r="C54" s="70"/>
      <c r="D54" s="70"/>
      <c r="E54" s="67">
        <f t="shared" si="1"/>
        <v>0</v>
      </c>
      <c r="F54" s="67">
        <f t="shared" si="2"/>
        <v>0</v>
      </c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91" t="s">
        <v>17</v>
      </c>
      <c r="U54" s="91" t="s">
        <v>18</v>
      </c>
      <c r="V54" s="92" t="s">
        <v>51</v>
      </c>
    </row>
    <row r="55" ht="23.25" customHeight="1" spans="1:22">
      <c r="A55" s="18">
        <v>50</v>
      </c>
      <c r="B55" s="19" t="s">
        <v>97</v>
      </c>
      <c r="C55" s="70"/>
      <c r="D55" s="70"/>
      <c r="E55" s="67">
        <f t="shared" si="1"/>
        <v>0</v>
      </c>
      <c r="F55" s="67">
        <f t="shared" si="2"/>
        <v>0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91" t="s">
        <v>17</v>
      </c>
      <c r="U55" s="91" t="s">
        <v>18</v>
      </c>
      <c r="V55" s="92" t="s">
        <v>51</v>
      </c>
    </row>
    <row r="56" s="43" customFormat="1" ht="23.25" customHeight="1" spans="1:22">
      <c r="A56" s="18">
        <v>51</v>
      </c>
      <c r="B56" s="19" t="s">
        <v>98</v>
      </c>
      <c r="C56" s="70"/>
      <c r="D56" s="70"/>
      <c r="E56" s="67">
        <f t="shared" si="1"/>
        <v>0</v>
      </c>
      <c r="F56" s="67">
        <f t="shared" si="2"/>
        <v>0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97"/>
      <c r="T56" s="91" t="s">
        <v>17</v>
      </c>
      <c r="U56" s="91" t="s">
        <v>18</v>
      </c>
      <c r="V56" s="92" t="s">
        <v>51</v>
      </c>
    </row>
    <row r="57" s="42" customFormat="1" ht="23.25" customHeight="1" spans="1:22">
      <c r="A57" s="65">
        <v>52</v>
      </c>
      <c r="B57" s="66" t="s">
        <v>99</v>
      </c>
      <c r="C57" s="72">
        <f>C29-C30-C53</f>
        <v>132343.196431068</v>
      </c>
      <c r="D57" s="72">
        <f t="shared" ref="D57:R57" si="16">D29-D30-D53</f>
        <v>13342.2942563107</v>
      </c>
      <c r="E57" s="72">
        <f t="shared" si="16"/>
        <v>145685.490687379</v>
      </c>
      <c r="F57" s="72">
        <f t="shared" si="2"/>
        <v>153785.712151456</v>
      </c>
      <c r="G57" s="72">
        <f t="shared" si="16"/>
        <v>14355.2260126214</v>
      </c>
      <c r="H57" s="72">
        <f t="shared" si="16"/>
        <v>10305.2260126214</v>
      </c>
      <c r="I57" s="72">
        <f t="shared" si="16"/>
        <v>14055.2260126214</v>
      </c>
      <c r="J57" s="72">
        <f t="shared" si="16"/>
        <v>11905.2260126214</v>
      </c>
      <c r="K57" s="72">
        <f t="shared" si="16"/>
        <v>14495.2260126214</v>
      </c>
      <c r="L57" s="72">
        <f t="shared" si="16"/>
        <v>13535.2260126214</v>
      </c>
      <c r="M57" s="72">
        <f t="shared" si="16"/>
        <v>13196.2260126214</v>
      </c>
      <c r="N57" s="72">
        <f t="shared" si="16"/>
        <v>13037.2260126214</v>
      </c>
      <c r="O57" s="72">
        <f t="shared" si="16"/>
        <v>10855.2260126214</v>
      </c>
      <c r="P57" s="72">
        <f t="shared" si="16"/>
        <v>12395.2260126214</v>
      </c>
      <c r="Q57" s="72">
        <f t="shared" si="16"/>
        <v>12655.2260126214</v>
      </c>
      <c r="R57" s="72">
        <f t="shared" si="16"/>
        <v>12995.2260126214</v>
      </c>
      <c r="S57" s="89"/>
      <c r="T57" s="90"/>
      <c r="U57" s="90" t="s">
        <v>18</v>
      </c>
      <c r="V57" s="88"/>
    </row>
    <row r="58" s="43" customFormat="1" ht="23.25" customHeight="1" spans="1:22">
      <c r="A58" s="18">
        <v>53</v>
      </c>
      <c r="B58" s="16" t="s">
        <v>100</v>
      </c>
      <c r="C58" s="80"/>
      <c r="D58" s="80"/>
      <c r="E58" s="67">
        <f t="shared" si="1"/>
        <v>0</v>
      </c>
      <c r="F58" s="67">
        <f t="shared" si="2"/>
        <v>0</v>
      </c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98"/>
      <c r="S58" s="81"/>
      <c r="T58" s="99"/>
      <c r="U58" s="99" t="s">
        <v>18</v>
      </c>
      <c r="V58" s="100" t="s">
        <v>51</v>
      </c>
    </row>
    <row r="59" s="43" customFormat="1" ht="23.25" customHeight="1" spans="1:22">
      <c r="A59" s="18">
        <v>54</v>
      </c>
      <c r="B59" s="16" t="s">
        <v>101</v>
      </c>
      <c r="C59" s="80"/>
      <c r="D59" s="80"/>
      <c r="E59" s="67">
        <f t="shared" si="1"/>
        <v>0</v>
      </c>
      <c r="F59" s="67">
        <f t="shared" si="2"/>
        <v>0</v>
      </c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98"/>
      <c r="S59" s="81"/>
      <c r="T59" s="99"/>
      <c r="U59" s="99" t="s">
        <v>18</v>
      </c>
      <c r="V59" s="100" t="s">
        <v>51</v>
      </c>
    </row>
    <row r="60" s="43" customFormat="1" ht="23.25" customHeight="1" spans="1:22">
      <c r="A60" s="18">
        <v>55</v>
      </c>
      <c r="B60" s="16" t="s">
        <v>102</v>
      </c>
      <c r="C60" s="80"/>
      <c r="D60" s="80"/>
      <c r="E60" s="67">
        <f t="shared" si="1"/>
        <v>0</v>
      </c>
      <c r="F60" s="67">
        <f t="shared" si="2"/>
        <v>0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98"/>
      <c r="S60" s="81"/>
      <c r="T60" s="99"/>
      <c r="U60" s="99" t="s">
        <v>18</v>
      </c>
      <c r="V60" s="100" t="s">
        <v>51</v>
      </c>
    </row>
    <row r="61" s="43" customFormat="1" ht="23.25" customHeight="1" spans="1:22">
      <c r="A61" s="18">
        <v>56</v>
      </c>
      <c r="B61" s="16" t="s">
        <v>103</v>
      </c>
      <c r="C61" s="80"/>
      <c r="D61" s="80"/>
      <c r="E61" s="67">
        <f t="shared" si="1"/>
        <v>0</v>
      </c>
      <c r="F61" s="67">
        <f t="shared" si="2"/>
        <v>0</v>
      </c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98"/>
      <c r="S61" s="81"/>
      <c r="T61" s="99"/>
      <c r="U61" s="99" t="s">
        <v>18</v>
      </c>
      <c r="V61" s="100" t="s">
        <v>51</v>
      </c>
    </row>
    <row r="62" s="42" customFormat="1" ht="23.25" customHeight="1" spans="1:22">
      <c r="A62" s="65">
        <v>57</v>
      </c>
      <c r="B62" s="66" t="s">
        <v>104</v>
      </c>
      <c r="C62" s="72">
        <f>C57+C58-C59+C60-C61</f>
        <v>132343.196431068</v>
      </c>
      <c r="D62" s="72">
        <f t="shared" ref="D62:R62" si="17">D57+D58-D59+D60-D61</f>
        <v>13342.2942563107</v>
      </c>
      <c r="E62" s="72">
        <f t="shared" si="17"/>
        <v>145685.490687379</v>
      </c>
      <c r="F62" s="72">
        <f t="shared" si="2"/>
        <v>153785.712151456</v>
      </c>
      <c r="G62" s="72">
        <f t="shared" si="17"/>
        <v>14355.2260126214</v>
      </c>
      <c r="H62" s="72">
        <f t="shared" si="17"/>
        <v>10305.2260126214</v>
      </c>
      <c r="I62" s="72">
        <f t="shared" si="17"/>
        <v>14055.2260126214</v>
      </c>
      <c r="J62" s="72">
        <f t="shared" si="17"/>
        <v>11905.2260126214</v>
      </c>
      <c r="K62" s="72">
        <f t="shared" si="17"/>
        <v>14495.2260126214</v>
      </c>
      <c r="L62" s="72">
        <f t="shared" si="17"/>
        <v>13535.2260126214</v>
      </c>
      <c r="M62" s="72">
        <f t="shared" si="17"/>
        <v>13196.2260126214</v>
      </c>
      <c r="N62" s="72">
        <f t="shared" si="17"/>
        <v>13037.2260126214</v>
      </c>
      <c r="O62" s="72">
        <f t="shared" si="17"/>
        <v>10855.2260126214</v>
      </c>
      <c r="P62" s="72">
        <f t="shared" si="17"/>
        <v>12395.2260126214</v>
      </c>
      <c r="Q62" s="72">
        <f t="shared" si="17"/>
        <v>12655.2260126214</v>
      </c>
      <c r="R62" s="72">
        <f t="shared" si="17"/>
        <v>12995.2260126214</v>
      </c>
      <c r="S62" s="89"/>
      <c r="T62" s="90"/>
      <c r="U62" s="90"/>
      <c r="V62" s="88"/>
    </row>
    <row r="63" s="42" customFormat="1" ht="23.25" customHeight="1" spans="1:22">
      <c r="A63" s="65">
        <v>58</v>
      </c>
      <c r="B63" s="82" t="s">
        <v>105</v>
      </c>
      <c r="C63" s="72">
        <f>C62*0.25</f>
        <v>33085.799107767</v>
      </c>
      <c r="D63" s="72">
        <f t="shared" ref="D63:R63" si="18">D62*0.25</f>
        <v>3335.57356407767</v>
      </c>
      <c r="E63" s="72">
        <f t="shared" si="18"/>
        <v>36421.3726718447</v>
      </c>
      <c r="F63" s="72">
        <f t="shared" si="2"/>
        <v>38446.4280378641</v>
      </c>
      <c r="G63" s="72">
        <f t="shared" si="18"/>
        <v>3588.80650315534</v>
      </c>
      <c r="H63" s="72">
        <f t="shared" si="18"/>
        <v>2576.30650315534</v>
      </c>
      <c r="I63" s="72">
        <f t="shared" si="18"/>
        <v>3513.80650315534</v>
      </c>
      <c r="J63" s="72">
        <f t="shared" si="18"/>
        <v>2976.30650315534</v>
      </c>
      <c r="K63" s="72">
        <f t="shared" si="18"/>
        <v>3623.80650315534</v>
      </c>
      <c r="L63" s="72">
        <f t="shared" si="18"/>
        <v>3383.80650315534</v>
      </c>
      <c r="M63" s="72">
        <f t="shared" si="18"/>
        <v>3299.05650315534</v>
      </c>
      <c r="N63" s="72">
        <f t="shared" si="18"/>
        <v>3259.30650315534</v>
      </c>
      <c r="O63" s="72">
        <f t="shared" si="18"/>
        <v>2713.80650315534</v>
      </c>
      <c r="P63" s="72">
        <f t="shared" si="18"/>
        <v>3098.80650315534</v>
      </c>
      <c r="Q63" s="72">
        <f t="shared" si="18"/>
        <v>3163.80650315534</v>
      </c>
      <c r="R63" s="72">
        <f t="shared" si="18"/>
        <v>3248.80650315534</v>
      </c>
      <c r="S63" s="89"/>
      <c r="T63" s="90"/>
      <c r="U63" s="90"/>
      <c r="V63" s="88"/>
    </row>
    <row r="64" s="42" customFormat="1" ht="23.25" customHeight="1" spans="1:22">
      <c r="A64" s="65">
        <v>59</v>
      </c>
      <c r="B64" s="66" t="s">
        <v>106</v>
      </c>
      <c r="C64" s="72">
        <f>C62-C63</f>
        <v>99257.3973233009</v>
      </c>
      <c r="D64" s="72">
        <f t="shared" ref="D64:R64" si="19">D62-D63</f>
        <v>10006.720692233</v>
      </c>
      <c r="E64" s="72">
        <f t="shared" si="19"/>
        <v>109264.118015534</v>
      </c>
      <c r="F64" s="72">
        <f t="shared" si="2"/>
        <v>115339.284113592</v>
      </c>
      <c r="G64" s="72">
        <f t="shared" si="19"/>
        <v>10766.419509466</v>
      </c>
      <c r="H64" s="72">
        <f t="shared" si="19"/>
        <v>7728.91950946602</v>
      </c>
      <c r="I64" s="72">
        <f t="shared" si="19"/>
        <v>10541.419509466</v>
      </c>
      <c r="J64" s="72">
        <f t="shared" si="19"/>
        <v>8928.91950946602</v>
      </c>
      <c r="K64" s="72">
        <f t="shared" si="19"/>
        <v>10871.419509466</v>
      </c>
      <c r="L64" s="72">
        <f t="shared" si="19"/>
        <v>10151.419509466</v>
      </c>
      <c r="M64" s="72">
        <f t="shared" si="19"/>
        <v>9897.16950946602</v>
      </c>
      <c r="N64" s="72">
        <f t="shared" si="19"/>
        <v>9777.91950946602</v>
      </c>
      <c r="O64" s="72">
        <f t="shared" si="19"/>
        <v>8141.41950946602</v>
      </c>
      <c r="P64" s="72">
        <f t="shared" si="19"/>
        <v>9296.41950946602</v>
      </c>
      <c r="Q64" s="72">
        <f t="shared" si="19"/>
        <v>9491.41950946602</v>
      </c>
      <c r="R64" s="72">
        <f t="shared" si="19"/>
        <v>9746.41950946602</v>
      </c>
      <c r="S64" s="89"/>
      <c r="T64" s="90"/>
      <c r="U64" s="90"/>
      <c r="V64" s="88"/>
    </row>
  </sheetData>
  <mergeCells count="6">
    <mergeCell ref="A1:P1"/>
    <mergeCell ref="A2:R2"/>
    <mergeCell ref="A3:A5"/>
    <mergeCell ref="B3:B5"/>
    <mergeCell ref="C3:E4"/>
    <mergeCell ref="F3:V4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V64"/>
  <sheetViews>
    <sheetView workbookViewId="0">
      <selection activeCell="G25" sqref="G25"/>
    </sheetView>
  </sheetViews>
  <sheetFormatPr defaultColWidth="9" defaultRowHeight="13.5"/>
  <cols>
    <col min="1" max="1" width="6.125" style="44" customWidth="1"/>
    <col min="2" max="2" width="44.5" style="45" customWidth="1"/>
    <col min="3" max="3" width="19.875" style="44" customWidth="1"/>
    <col min="4" max="4" width="15" style="44" customWidth="1"/>
    <col min="5" max="5" width="10.5" style="42" customWidth="1"/>
    <col min="6" max="6" width="16.375" style="42" customWidth="1"/>
    <col min="7" max="8" width="10.25" style="44" customWidth="1"/>
    <col min="9" max="19" width="11.625" style="44" customWidth="1"/>
    <col min="20" max="20" width="18.5" style="46" hidden="1" customWidth="1"/>
    <col min="21" max="21" width="13.625" style="46" hidden="1" customWidth="1"/>
    <col min="22" max="22" width="98.375" style="45" hidden="1" customWidth="1"/>
    <col min="23" max="16384" width="9" style="44"/>
  </cols>
  <sheetData>
    <row r="1" ht="25.5" spans="1:16">
      <c r="A1" s="47" t="s">
        <v>0</v>
      </c>
      <c r="B1" s="47"/>
      <c r="C1" s="47"/>
      <c r="D1" s="47"/>
      <c r="E1" s="48"/>
      <c r="F1" s="48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="40" customFormat="1" ht="20.25" spans="1:22">
      <c r="A2" s="49" t="s">
        <v>123</v>
      </c>
      <c r="B2" s="49"/>
      <c r="C2" s="49"/>
      <c r="D2" s="49"/>
      <c r="E2" s="50"/>
      <c r="F2" s="51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84"/>
      <c r="U2" s="84"/>
      <c r="V2" s="85"/>
    </row>
    <row r="3" s="41" customFormat="1" ht="23.25" customHeight="1" spans="1:22">
      <c r="A3" s="6" t="s">
        <v>2</v>
      </c>
      <c r="B3" s="7" t="s">
        <v>3</v>
      </c>
      <c r="C3" s="53" t="s">
        <v>4</v>
      </c>
      <c r="D3" s="54"/>
      <c r="E3" s="55"/>
      <c r="F3" s="56" t="s">
        <v>5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86"/>
    </row>
    <row r="4" s="41" customFormat="1" ht="31.5" customHeight="1" spans="1:22">
      <c r="A4" s="9"/>
      <c r="B4" s="10"/>
      <c r="C4" s="14"/>
      <c r="D4" s="58"/>
      <c r="E4" s="59"/>
      <c r="F4" s="60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87"/>
    </row>
    <row r="5" s="42" customFormat="1" ht="26.25" customHeight="1" spans="1:22">
      <c r="A5" s="12"/>
      <c r="B5" s="13"/>
      <c r="C5" s="62" t="s">
        <v>6</v>
      </c>
      <c r="D5" s="62" t="s">
        <v>7</v>
      </c>
      <c r="E5" s="62" t="s">
        <v>8</v>
      </c>
      <c r="F5" s="63" t="s">
        <v>9</v>
      </c>
      <c r="G5" s="64">
        <v>43101</v>
      </c>
      <c r="H5" s="64">
        <v>43132</v>
      </c>
      <c r="I5" s="64">
        <v>43160</v>
      </c>
      <c r="J5" s="64">
        <v>43191</v>
      </c>
      <c r="K5" s="64">
        <v>43221</v>
      </c>
      <c r="L5" s="64">
        <v>43252</v>
      </c>
      <c r="M5" s="64">
        <v>43282</v>
      </c>
      <c r="N5" s="64">
        <v>43313</v>
      </c>
      <c r="O5" s="64">
        <v>43344</v>
      </c>
      <c r="P5" s="64">
        <v>43374</v>
      </c>
      <c r="Q5" s="64">
        <v>43405</v>
      </c>
      <c r="R5" s="64">
        <v>43435</v>
      </c>
      <c r="S5" s="63" t="s">
        <v>10</v>
      </c>
      <c r="T5" s="63" t="s">
        <v>11</v>
      </c>
      <c r="U5" s="63" t="s">
        <v>12</v>
      </c>
      <c r="V5" s="88" t="s">
        <v>13</v>
      </c>
    </row>
    <row r="6" s="42" customFormat="1" ht="25.5" customHeight="1" spans="1:22">
      <c r="A6" s="65">
        <v>1</v>
      </c>
      <c r="B6" s="66" t="s">
        <v>14</v>
      </c>
      <c r="C6" s="67">
        <f>C7+C8+C9+C10+C11+C12+C13</f>
        <v>479207.74</v>
      </c>
      <c r="D6" s="67">
        <f t="shared" ref="D6:R6" si="0">D7+D8+D9+D10+D11+D12+D13</f>
        <v>43564.34</v>
      </c>
      <c r="E6" s="67">
        <f>C6+D6</f>
        <v>522772.08</v>
      </c>
      <c r="F6" s="67">
        <f t="shared" si="0"/>
        <v>522772.08</v>
      </c>
      <c r="G6" s="67">
        <f t="shared" si="0"/>
        <v>43564.34</v>
      </c>
      <c r="H6" s="67">
        <f t="shared" si="0"/>
        <v>43564.34</v>
      </c>
      <c r="I6" s="67">
        <f t="shared" si="0"/>
        <v>43564.34</v>
      </c>
      <c r="J6" s="67">
        <f t="shared" si="0"/>
        <v>43564.34</v>
      </c>
      <c r="K6" s="67">
        <f t="shared" si="0"/>
        <v>43564.34</v>
      </c>
      <c r="L6" s="67">
        <f t="shared" si="0"/>
        <v>43564.34</v>
      </c>
      <c r="M6" s="67">
        <f t="shared" si="0"/>
        <v>43564.34</v>
      </c>
      <c r="N6" s="67">
        <f t="shared" si="0"/>
        <v>43564.34</v>
      </c>
      <c r="O6" s="67">
        <f t="shared" si="0"/>
        <v>43564.34</v>
      </c>
      <c r="P6" s="67">
        <f t="shared" si="0"/>
        <v>43564.34</v>
      </c>
      <c r="Q6" s="67">
        <f t="shared" si="0"/>
        <v>43564.34</v>
      </c>
      <c r="R6" s="67">
        <f t="shared" si="0"/>
        <v>43564.34</v>
      </c>
      <c r="S6" s="89"/>
      <c r="T6" s="90"/>
      <c r="U6" s="90"/>
      <c r="V6" s="88" t="s">
        <v>15</v>
      </c>
    </row>
    <row r="7" ht="26.25" customHeight="1" spans="1:22">
      <c r="A7" s="18">
        <v>2</v>
      </c>
      <c r="B7" s="19" t="s">
        <v>16</v>
      </c>
      <c r="C7" s="68">
        <v>466007.74</v>
      </c>
      <c r="D7" s="68">
        <v>42364.34</v>
      </c>
      <c r="E7" s="67">
        <f t="shared" ref="E7:E61" si="1">C7+D7</f>
        <v>508372.08</v>
      </c>
      <c r="F7" s="67">
        <f>SUM(G7:R7)</f>
        <v>508372.08</v>
      </c>
      <c r="G7" s="68">
        <v>42364.34</v>
      </c>
      <c r="H7" s="68">
        <v>42364.34</v>
      </c>
      <c r="I7" s="68">
        <v>42364.34</v>
      </c>
      <c r="J7" s="68">
        <v>42364.34</v>
      </c>
      <c r="K7" s="68">
        <v>42364.34</v>
      </c>
      <c r="L7" s="68">
        <v>42364.34</v>
      </c>
      <c r="M7" s="68">
        <v>42364.34</v>
      </c>
      <c r="N7" s="68">
        <v>42364.34</v>
      </c>
      <c r="O7" s="68">
        <v>42364.34</v>
      </c>
      <c r="P7" s="68">
        <v>42364.34</v>
      </c>
      <c r="Q7" s="68">
        <v>42364.34</v>
      </c>
      <c r="R7" s="68">
        <v>42364.34</v>
      </c>
      <c r="S7" s="69"/>
      <c r="T7" s="91" t="s">
        <v>17</v>
      </c>
      <c r="U7" s="91" t="s">
        <v>18</v>
      </c>
      <c r="V7" s="92" t="s">
        <v>114</v>
      </c>
    </row>
    <row r="8" ht="26.25" customHeight="1" spans="1:22">
      <c r="A8" s="18">
        <v>3</v>
      </c>
      <c r="B8" s="19" t="s">
        <v>20</v>
      </c>
      <c r="C8" s="68"/>
      <c r="D8" s="68"/>
      <c r="E8" s="67">
        <f t="shared" si="1"/>
        <v>0</v>
      </c>
      <c r="F8" s="67">
        <f t="shared" ref="F8:F64" si="2">SUM(G8:R8)</f>
        <v>0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9"/>
      <c r="T8" s="91" t="s">
        <v>17</v>
      </c>
      <c r="U8" s="91" t="s">
        <v>18</v>
      </c>
      <c r="V8" s="92" t="s">
        <v>115</v>
      </c>
    </row>
    <row r="9" ht="26.25" customHeight="1" spans="1:22">
      <c r="A9" s="18">
        <v>4</v>
      </c>
      <c r="B9" s="19" t="s">
        <v>22</v>
      </c>
      <c r="C9" s="68">
        <v>13200</v>
      </c>
      <c r="D9" s="68">
        <v>1200</v>
      </c>
      <c r="E9" s="67">
        <f t="shared" si="1"/>
        <v>14400</v>
      </c>
      <c r="F9" s="67">
        <f t="shared" si="2"/>
        <v>14400</v>
      </c>
      <c r="G9" s="68">
        <v>1200</v>
      </c>
      <c r="H9" s="68">
        <v>1200</v>
      </c>
      <c r="I9" s="68">
        <v>1200</v>
      </c>
      <c r="J9" s="68">
        <v>1200</v>
      </c>
      <c r="K9" s="68">
        <v>1200</v>
      </c>
      <c r="L9" s="68">
        <v>1200</v>
      </c>
      <c r="M9" s="68">
        <v>1200</v>
      </c>
      <c r="N9" s="68">
        <v>1200</v>
      </c>
      <c r="O9" s="68">
        <v>1200</v>
      </c>
      <c r="P9" s="68">
        <v>1200</v>
      </c>
      <c r="Q9" s="68">
        <v>1200</v>
      </c>
      <c r="R9" s="68">
        <v>1200</v>
      </c>
      <c r="S9" s="69"/>
      <c r="T9" s="91" t="s">
        <v>17</v>
      </c>
      <c r="U9" s="91" t="s">
        <v>18</v>
      </c>
      <c r="V9" s="92" t="s">
        <v>23</v>
      </c>
    </row>
    <row r="10" ht="30.75" customHeight="1" spans="1:22">
      <c r="A10" s="18">
        <v>5</v>
      </c>
      <c r="B10" s="19" t="s">
        <v>24</v>
      </c>
      <c r="C10" s="68"/>
      <c r="D10" s="68"/>
      <c r="E10" s="67">
        <f t="shared" si="1"/>
        <v>0</v>
      </c>
      <c r="F10" s="67">
        <f t="shared" si="2"/>
        <v>0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91" t="s">
        <v>17</v>
      </c>
      <c r="U10" s="91" t="s">
        <v>18</v>
      </c>
      <c r="V10" s="92" t="s">
        <v>25</v>
      </c>
    </row>
    <row r="11" ht="30" customHeight="1" spans="1:22">
      <c r="A11" s="18">
        <v>6</v>
      </c>
      <c r="B11" s="19" t="s">
        <v>26</v>
      </c>
      <c r="C11" s="68"/>
      <c r="D11" s="68"/>
      <c r="E11" s="67">
        <f t="shared" si="1"/>
        <v>0</v>
      </c>
      <c r="F11" s="67">
        <f t="shared" si="2"/>
        <v>0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91" t="s">
        <v>17</v>
      </c>
      <c r="U11" s="91" t="s">
        <v>18</v>
      </c>
      <c r="V11" s="92" t="s">
        <v>27</v>
      </c>
    </row>
    <row r="12" ht="23.25" customHeight="1" spans="1:22">
      <c r="A12" s="18">
        <v>7</v>
      </c>
      <c r="B12" s="19" t="s">
        <v>28</v>
      </c>
      <c r="C12" s="68"/>
      <c r="D12" s="68"/>
      <c r="E12" s="67">
        <f t="shared" si="1"/>
        <v>0</v>
      </c>
      <c r="F12" s="67">
        <f t="shared" si="2"/>
        <v>0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91" t="s">
        <v>17</v>
      </c>
      <c r="U12" s="91" t="s">
        <v>18</v>
      </c>
      <c r="V12" s="92" t="s">
        <v>29</v>
      </c>
    </row>
    <row r="13" s="43" customFormat="1" ht="23.25" customHeight="1" spans="1:22">
      <c r="A13" s="18">
        <v>8</v>
      </c>
      <c r="B13" s="19" t="s">
        <v>30</v>
      </c>
      <c r="C13" s="68"/>
      <c r="D13" s="68"/>
      <c r="E13" s="67">
        <f t="shared" si="1"/>
        <v>0</v>
      </c>
      <c r="F13" s="67">
        <f t="shared" si="2"/>
        <v>0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91" t="s">
        <v>17</v>
      </c>
      <c r="U13" s="91" t="s">
        <v>18</v>
      </c>
      <c r="V13" s="92" t="s">
        <v>31</v>
      </c>
    </row>
    <row r="14" s="42" customFormat="1" ht="28.5" customHeight="1" spans="1:22">
      <c r="A14" s="65">
        <v>9</v>
      </c>
      <c r="B14" s="66" t="s">
        <v>32</v>
      </c>
      <c r="C14" s="67">
        <f>C15+C16+C17+C18+C19+C20+C21+C22</f>
        <v>352063.54</v>
      </c>
      <c r="D14" s="67">
        <f t="shared" ref="D14:R14" si="3">D15+D16+D17+D18+D19+D20+D21+D22</f>
        <v>32221.8</v>
      </c>
      <c r="E14" s="67">
        <f t="shared" si="3"/>
        <v>384285.34</v>
      </c>
      <c r="F14" s="67">
        <f t="shared" si="2"/>
        <v>367281</v>
      </c>
      <c r="G14" s="67">
        <f>G15+G16+G17+G18+G19+G20+G21+G22</f>
        <v>32449</v>
      </c>
      <c r="H14" s="67">
        <f>H15+H16+H17+H18+H19+H20+H21+H22</f>
        <v>31645</v>
      </c>
      <c r="I14" s="67">
        <f t="shared" si="3"/>
        <v>29731</v>
      </c>
      <c r="J14" s="67">
        <f t="shared" si="3"/>
        <v>30654</v>
      </c>
      <c r="K14" s="67">
        <f t="shared" si="3"/>
        <v>27654</v>
      </c>
      <c r="L14" s="67">
        <f t="shared" si="3"/>
        <v>28104</v>
      </c>
      <c r="M14" s="67">
        <f t="shared" si="3"/>
        <v>29154</v>
      </c>
      <c r="N14" s="67">
        <f t="shared" si="3"/>
        <v>31034</v>
      </c>
      <c r="O14" s="67">
        <f t="shared" si="3"/>
        <v>33994</v>
      </c>
      <c r="P14" s="67">
        <f t="shared" si="3"/>
        <v>30994</v>
      </c>
      <c r="Q14" s="67">
        <f t="shared" si="3"/>
        <v>30834</v>
      </c>
      <c r="R14" s="67">
        <f t="shared" si="3"/>
        <v>31034</v>
      </c>
      <c r="S14" s="89"/>
      <c r="T14" s="90"/>
      <c r="U14" s="90" t="s">
        <v>18</v>
      </c>
      <c r="V14" s="88" t="s">
        <v>33</v>
      </c>
    </row>
    <row r="15" ht="29.25" customHeight="1" spans="1:22">
      <c r="A15" s="18">
        <v>10</v>
      </c>
      <c r="B15" s="19" t="s">
        <v>34</v>
      </c>
      <c r="C15" s="70">
        <v>328149</v>
      </c>
      <c r="D15" s="68">
        <v>30614</v>
      </c>
      <c r="E15" s="67">
        <f t="shared" si="1"/>
        <v>358763</v>
      </c>
      <c r="F15" s="67">
        <f t="shared" si="2"/>
        <v>333390</v>
      </c>
      <c r="G15" s="68">
        <v>27619</v>
      </c>
      <c r="H15" s="68">
        <v>25920</v>
      </c>
      <c r="I15" s="68">
        <v>26210</v>
      </c>
      <c r="J15" s="68">
        <v>26249</v>
      </c>
      <c r="K15" s="68">
        <v>26249</v>
      </c>
      <c r="L15" s="68">
        <v>26249</v>
      </c>
      <c r="M15" s="68">
        <v>27749</v>
      </c>
      <c r="N15" s="68">
        <v>29429</v>
      </c>
      <c r="O15" s="68">
        <v>29429</v>
      </c>
      <c r="P15" s="68">
        <v>29429</v>
      </c>
      <c r="Q15" s="68">
        <v>29429</v>
      </c>
      <c r="R15" s="68">
        <v>29429</v>
      </c>
      <c r="S15" s="69"/>
      <c r="T15" s="93" t="s">
        <v>35</v>
      </c>
      <c r="U15" s="91" t="s">
        <v>18</v>
      </c>
      <c r="V15" s="92" t="s">
        <v>116</v>
      </c>
    </row>
    <row r="16" ht="23.25" customHeight="1" spans="1:22">
      <c r="A16" s="18">
        <v>11</v>
      </c>
      <c r="B16" s="19" t="s">
        <v>117</v>
      </c>
      <c r="C16" s="70">
        <v>8405.54</v>
      </c>
      <c r="D16" s="68">
        <v>297.8</v>
      </c>
      <c r="E16" s="67">
        <f t="shared" si="1"/>
        <v>8703.34</v>
      </c>
      <c r="F16" s="67">
        <f t="shared" si="2"/>
        <v>8340</v>
      </c>
      <c r="G16" s="68"/>
      <c r="H16" s="68">
        <v>4320</v>
      </c>
      <c r="I16" s="68">
        <v>450</v>
      </c>
      <c r="J16" s="68">
        <v>0</v>
      </c>
      <c r="K16" s="68">
        <v>0</v>
      </c>
      <c r="L16" s="68">
        <v>450</v>
      </c>
      <c r="M16" s="68">
        <v>0</v>
      </c>
      <c r="N16" s="68">
        <v>200</v>
      </c>
      <c r="O16" s="68">
        <v>2560</v>
      </c>
      <c r="P16" s="68">
        <v>160</v>
      </c>
      <c r="Q16" s="68">
        <v>0</v>
      </c>
      <c r="R16" s="68">
        <v>200</v>
      </c>
      <c r="S16" s="69"/>
      <c r="T16" s="93" t="s">
        <v>35</v>
      </c>
      <c r="U16" s="91" t="s">
        <v>18</v>
      </c>
      <c r="V16" s="92" t="s">
        <v>38</v>
      </c>
    </row>
    <row r="17" ht="23.25" customHeight="1" spans="1:22">
      <c r="A17" s="18">
        <v>12</v>
      </c>
      <c r="B17" s="19" t="s">
        <v>39</v>
      </c>
      <c r="C17" s="70">
        <v>3140</v>
      </c>
      <c r="D17" s="68"/>
      <c r="E17" s="67">
        <f t="shared" si="1"/>
        <v>3140</v>
      </c>
      <c r="F17" s="67">
        <f t="shared" si="2"/>
        <v>3300</v>
      </c>
      <c r="G17" s="68">
        <v>275</v>
      </c>
      <c r="H17" s="68">
        <v>275</v>
      </c>
      <c r="I17" s="68">
        <v>275</v>
      </c>
      <c r="J17" s="68">
        <v>275</v>
      </c>
      <c r="K17" s="68">
        <v>275</v>
      </c>
      <c r="L17" s="68">
        <v>275</v>
      </c>
      <c r="M17" s="68">
        <v>275</v>
      </c>
      <c r="N17" s="68">
        <v>275</v>
      </c>
      <c r="O17" s="68">
        <v>275</v>
      </c>
      <c r="P17" s="68">
        <v>275</v>
      </c>
      <c r="Q17" s="68">
        <v>275</v>
      </c>
      <c r="R17" s="68">
        <v>275</v>
      </c>
      <c r="S17" s="69"/>
      <c r="T17" s="93" t="s">
        <v>40</v>
      </c>
      <c r="U17" s="91" t="s">
        <v>18</v>
      </c>
      <c r="V17" s="92" t="s">
        <v>41</v>
      </c>
    </row>
    <row r="18" ht="23.25" customHeight="1" spans="1:22">
      <c r="A18" s="18">
        <v>13</v>
      </c>
      <c r="B18" s="19" t="s">
        <v>42</v>
      </c>
      <c r="C18" s="70">
        <v>2169</v>
      </c>
      <c r="D18" s="68">
        <v>1310</v>
      </c>
      <c r="E18" s="67">
        <f t="shared" si="1"/>
        <v>3479</v>
      </c>
      <c r="F18" s="67">
        <f t="shared" si="2"/>
        <v>6360</v>
      </c>
      <c r="G18" s="68">
        <v>530</v>
      </c>
      <c r="H18" s="68">
        <v>530</v>
      </c>
      <c r="I18" s="68">
        <v>530</v>
      </c>
      <c r="J18" s="68">
        <v>530</v>
      </c>
      <c r="K18" s="68">
        <v>530</v>
      </c>
      <c r="L18" s="68">
        <v>530</v>
      </c>
      <c r="M18" s="68">
        <v>530</v>
      </c>
      <c r="N18" s="68">
        <v>530</v>
      </c>
      <c r="O18" s="68">
        <v>530</v>
      </c>
      <c r="P18" s="68">
        <v>530</v>
      </c>
      <c r="Q18" s="68">
        <v>530</v>
      </c>
      <c r="R18" s="68">
        <v>530</v>
      </c>
      <c r="S18" s="69"/>
      <c r="T18" s="93" t="s">
        <v>40</v>
      </c>
      <c r="U18" s="91" t="s">
        <v>18</v>
      </c>
      <c r="V18" s="92" t="s">
        <v>43</v>
      </c>
    </row>
    <row r="19" ht="30.75" customHeight="1" spans="1:22">
      <c r="A19" s="18">
        <v>14</v>
      </c>
      <c r="B19" s="19" t="s">
        <v>44</v>
      </c>
      <c r="C19" s="70">
        <v>10200</v>
      </c>
      <c r="D19" s="68"/>
      <c r="E19" s="67">
        <f t="shared" si="1"/>
        <v>10200</v>
      </c>
      <c r="F19" s="67">
        <f t="shared" si="2"/>
        <v>15291</v>
      </c>
      <c r="G19" s="68">
        <v>4025</v>
      </c>
      <c r="H19" s="71">
        <v>600</v>
      </c>
      <c r="I19" s="68">
        <v>2266</v>
      </c>
      <c r="J19" s="68">
        <v>3600</v>
      </c>
      <c r="K19" s="68">
        <v>600</v>
      </c>
      <c r="L19" s="68">
        <v>600</v>
      </c>
      <c r="M19" s="68">
        <v>600</v>
      </c>
      <c r="N19" s="68">
        <v>600</v>
      </c>
      <c r="O19" s="68">
        <v>600</v>
      </c>
      <c r="P19" s="68">
        <v>600</v>
      </c>
      <c r="Q19" s="68">
        <v>600</v>
      </c>
      <c r="R19" s="68">
        <v>600</v>
      </c>
      <c r="S19" s="69"/>
      <c r="T19" s="93" t="s">
        <v>40</v>
      </c>
      <c r="U19" s="91" t="s">
        <v>18</v>
      </c>
      <c r="V19" s="92" t="s">
        <v>45</v>
      </c>
    </row>
    <row r="20" ht="23.25" customHeight="1" spans="1:22">
      <c r="A20" s="18">
        <v>15</v>
      </c>
      <c r="B20" s="19" t="s">
        <v>46</v>
      </c>
      <c r="C20" s="70"/>
      <c r="D20" s="70"/>
      <c r="E20" s="67">
        <f t="shared" si="1"/>
        <v>0</v>
      </c>
      <c r="F20" s="67">
        <f t="shared" si="2"/>
        <v>0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9"/>
      <c r="T20" s="93" t="s">
        <v>40</v>
      </c>
      <c r="U20" s="91" t="s">
        <v>18</v>
      </c>
      <c r="V20" s="92" t="s">
        <v>47</v>
      </c>
    </row>
    <row r="21" ht="23.25" customHeight="1" spans="1:22">
      <c r="A21" s="18">
        <v>16</v>
      </c>
      <c r="B21" s="19" t="s">
        <v>118</v>
      </c>
      <c r="C21" s="70"/>
      <c r="D21" s="70"/>
      <c r="E21" s="67">
        <f t="shared" si="1"/>
        <v>0</v>
      </c>
      <c r="F21" s="67">
        <f t="shared" si="2"/>
        <v>0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9"/>
      <c r="T21" s="93" t="s">
        <v>40</v>
      </c>
      <c r="U21" s="91" t="s">
        <v>18</v>
      </c>
      <c r="V21" s="92" t="s">
        <v>49</v>
      </c>
    </row>
    <row r="22" s="43" customFormat="1" ht="23.25" customHeight="1" spans="1:22">
      <c r="A22" s="18">
        <v>17</v>
      </c>
      <c r="B22" s="19" t="s">
        <v>50</v>
      </c>
      <c r="C22" s="70"/>
      <c r="D22" s="70"/>
      <c r="E22" s="67">
        <f t="shared" si="1"/>
        <v>0</v>
      </c>
      <c r="F22" s="67">
        <f t="shared" si="2"/>
        <v>600</v>
      </c>
      <c r="G22" s="68"/>
      <c r="H22" s="68"/>
      <c r="I22" s="68"/>
      <c r="J22" s="68"/>
      <c r="K22" s="68"/>
      <c r="L22" s="68"/>
      <c r="M22" s="68"/>
      <c r="N22" s="68"/>
      <c r="O22" s="68">
        <v>600</v>
      </c>
      <c r="P22" s="68"/>
      <c r="Q22" s="68"/>
      <c r="R22" s="68"/>
      <c r="S22" s="69"/>
      <c r="T22" s="93" t="s">
        <v>40</v>
      </c>
      <c r="U22" s="91" t="s">
        <v>18</v>
      </c>
      <c r="V22" s="92" t="s">
        <v>51</v>
      </c>
    </row>
    <row r="23" s="42" customFormat="1" ht="23.25" customHeight="1" spans="1:22">
      <c r="A23" s="65">
        <v>18</v>
      </c>
      <c r="B23" s="66" t="s">
        <v>52</v>
      </c>
      <c r="C23" s="72">
        <f>C24+C25+C26+C27+C28</f>
        <v>15632.4078291262</v>
      </c>
      <c r="D23" s="72">
        <f t="shared" ref="D23:R23" si="4">D24+D25+D26+D27+D28</f>
        <v>1421.12798446602</v>
      </c>
      <c r="E23" s="72">
        <f t="shared" si="4"/>
        <v>17053.5358135922</v>
      </c>
      <c r="F23" s="72">
        <f t="shared" si="2"/>
        <v>34107.0716271845</v>
      </c>
      <c r="G23" s="72">
        <f t="shared" si="4"/>
        <v>2842.25596893204</v>
      </c>
      <c r="H23" s="72">
        <f t="shared" si="4"/>
        <v>2842.25596893204</v>
      </c>
      <c r="I23" s="72">
        <f t="shared" si="4"/>
        <v>2842.25596893204</v>
      </c>
      <c r="J23" s="72">
        <f t="shared" si="4"/>
        <v>2842.25596893204</v>
      </c>
      <c r="K23" s="72">
        <f t="shared" si="4"/>
        <v>2842.25596893204</v>
      </c>
      <c r="L23" s="72">
        <f t="shared" si="4"/>
        <v>2842.25596893204</v>
      </c>
      <c r="M23" s="72">
        <f t="shared" si="4"/>
        <v>2842.25596893204</v>
      </c>
      <c r="N23" s="72">
        <f t="shared" si="4"/>
        <v>2842.25596893204</v>
      </c>
      <c r="O23" s="72">
        <f t="shared" si="4"/>
        <v>2842.25596893204</v>
      </c>
      <c r="P23" s="72">
        <f t="shared" si="4"/>
        <v>2842.25596893204</v>
      </c>
      <c r="Q23" s="72">
        <f t="shared" si="4"/>
        <v>2842.25596893204</v>
      </c>
      <c r="R23" s="72">
        <f t="shared" si="4"/>
        <v>2842.25596893204</v>
      </c>
      <c r="S23" s="89"/>
      <c r="T23" s="90"/>
      <c r="U23" s="90" t="s">
        <v>18</v>
      </c>
      <c r="V23" s="88" t="s">
        <v>53</v>
      </c>
    </row>
    <row r="24" ht="23.25" customHeight="1" spans="1:22">
      <c r="A24" s="18">
        <v>19</v>
      </c>
      <c r="B24" s="19" t="s">
        <v>54</v>
      </c>
      <c r="C24" s="32">
        <f>(C7+C9)/1.03*0.03</f>
        <v>13957.5069902913</v>
      </c>
      <c r="D24" s="32">
        <f>(D7+D9)/1.03*0.03</f>
        <v>1268.86427184466</v>
      </c>
      <c r="E24" s="72">
        <f t="shared" si="1"/>
        <v>15226.3712621359</v>
      </c>
      <c r="F24" s="72">
        <f t="shared" si="2"/>
        <v>30452.7425242718</v>
      </c>
      <c r="G24" s="73">
        <f>(G7+G9)/1.03*0.06</f>
        <v>2537.72854368932</v>
      </c>
      <c r="H24" s="73">
        <f t="shared" ref="H24:R24" si="5">(H7+H9)/1.03*0.06</f>
        <v>2537.72854368932</v>
      </c>
      <c r="I24" s="73">
        <f t="shared" si="5"/>
        <v>2537.72854368932</v>
      </c>
      <c r="J24" s="73">
        <f t="shared" si="5"/>
        <v>2537.72854368932</v>
      </c>
      <c r="K24" s="73">
        <f t="shared" si="5"/>
        <v>2537.72854368932</v>
      </c>
      <c r="L24" s="73">
        <f t="shared" si="5"/>
        <v>2537.72854368932</v>
      </c>
      <c r="M24" s="73">
        <f t="shared" si="5"/>
        <v>2537.72854368932</v>
      </c>
      <c r="N24" s="73">
        <f t="shared" si="5"/>
        <v>2537.72854368932</v>
      </c>
      <c r="O24" s="73">
        <f t="shared" si="5"/>
        <v>2537.72854368932</v>
      </c>
      <c r="P24" s="73">
        <f t="shared" si="5"/>
        <v>2537.72854368932</v>
      </c>
      <c r="Q24" s="73">
        <f t="shared" si="5"/>
        <v>2537.72854368932</v>
      </c>
      <c r="R24" s="73">
        <f t="shared" si="5"/>
        <v>2537.72854368932</v>
      </c>
      <c r="S24" s="69"/>
      <c r="T24" s="91" t="s">
        <v>17</v>
      </c>
      <c r="U24" s="91" t="s">
        <v>18</v>
      </c>
      <c r="V24" s="92" t="s">
        <v>55</v>
      </c>
    </row>
    <row r="25" ht="23.25" customHeight="1" spans="1:22">
      <c r="A25" s="18">
        <v>20</v>
      </c>
      <c r="B25" s="19" t="s">
        <v>56</v>
      </c>
      <c r="C25" s="32">
        <f>C24*0.07</f>
        <v>977.025489320388</v>
      </c>
      <c r="D25" s="32">
        <f>D24*0.07</f>
        <v>88.8204990291262</v>
      </c>
      <c r="E25" s="72">
        <f t="shared" si="1"/>
        <v>1065.84598834951</v>
      </c>
      <c r="F25" s="72">
        <f t="shared" si="2"/>
        <v>2131.69197669903</v>
      </c>
      <c r="G25" s="73">
        <f>G24*0.07</f>
        <v>177.640998058252</v>
      </c>
      <c r="H25" s="73">
        <f t="shared" ref="H25:R25" si="6">H24*0.07</f>
        <v>177.640998058252</v>
      </c>
      <c r="I25" s="73">
        <f t="shared" si="6"/>
        <v>177.640998058252</v>
      </c>
      <c r="J25" s="73">
        <f t="shared" si="6"/>
        <v>177.640998058252</v>
      </c>
      <c r="K25" s="73">
        <f t="shared" si="6"/>
        <v>177.640998058252</v>
      </c>
      <c r="L25" s="73">
        <f t="shared" si="6"/>
        <v>177.640998058252</v>
      </c>
      <c r="M25" s="73">
        <f t="shared" si="6"/>
        <v>177.640998058252</v>
      </c>
      <c r="N25" s="73">
        <f t="shared" si="6"/>
        <v>177.640998058252</v>
      </c>
      <c r="O25" s="73">
        <f t="shared" si="6"/>
        <v>177.640998058252</v>
      </c>
      <c r="P25" s="73">
        <f t="shared" si="6"/>
        <v>177.640998058252</v>
      </c>
      <c r="Q25" s="73">
        <f t="shared" si="6"/>
        <v>177.640998058252</v>
      </c>
      <c r="R25" s="73">
        <f t="shared" si="6"/>
        <v>177.640998058252</v>
      </c>
      <c r="S25" s="69"/>
      <c r="T25" s="91" t="s">
        <v>17</v>
      </c>
      <c r="U25" s="91" t="s">
        <v>18</v>
      </c>
      <c r="V25" s="92" t="s">
        <v>57</v>
      </c>
    </row>
    <row r="26" ht="23.25" customHeight="1" spans="1:22">
      <c r="A26" s="18">
        <v>21</v>
      </c>
      <c r="B26" s="19" t="s">
        <v>58</v>
      </c>
      <c r="C26" s="32">
        <f>C24*0.03</f>
        <v>418.725209708738</v>
      </c>
      <c r="D26" s="32">
        <f>D24*0.03</f>
        <v>38.0659281553398</v>
      </c>
      <c r="E26" s="72">
        <f t="shared" si="1"/>
        <v>456.791137864078</v>
      </c>
      <c r="F26" s="72">
        <f t="shared" si="2"/>
        <v>913.582275728155</v>
      </c>
      <c r="G26" s="73">
        <f>G24*0.03</f>
        <v>76.1318563106796</v>
      </c>
      <c r="H26" s="73">
        <f t="shared" ref="H26:R26" si="7">H24*0.03</f>
        <v>76.1318563106796</v>
      </c>
      <c r="I26" s="73">
        <f t="shared" si="7"/>
        <v>76.1318563106796</v>
      </c>
      <c r="J26" s="73">
        <f t="shared" si="7"/>
        <v>76.1318563106796</v>
      </c>
      <c r="K26" s="73">
        <f t="shared" si="7"/>
        <v>76.1318563106796</v>
      </c>
      <c r="L26" s="73">
        <f t="shared" si="7"/>
        <v>76.1318563106796</v>
      </c>
      <c r="M26" s="73">
        <f t="shared" si="7"/>
        <v>76.1318563106796</v>
      </c>
      <c r="N26" s="73">
        <f t="shared" si="7"/>
        <v>76.1318563106796</v>
      </c>
      <c r="O26" s="73">
        <f t="shared" si="7"/>
        <v>76.1318563106796</v>
      </c>
      <c r="P26" s="73">
        <f t="shared" si="7"/>
        <v>76.1318563106796</v>
      </c>
      <c r="Q26" s="73">
        <f t="shared" si="7"/>
        <v>76.1318563106796</v>
      </c>
      <c r="R26" s="73">
        <f t="shared" si="7"/>
        <v>76.1318563106796</v>
      </c>
      <c r="S26" s="69"/>
      <c r="T26" s="91" t="s">
        <v>17</v>
      </c>
      <c r="U26" s="91" t="s">
        <v>18</v>
      </c>
      <c r="V26" s="92" t="s">
        <v>57</v>
      </c>
    </row>
    <row r="27" ht="23.25" customHeight="1" spans="1:22">
      <c r="A27" s="18">
        <v>22</v>
      </c>
      <c r="B27" s="19" t="s">
        <v>59</v>
      </c>
      <c r="C27" s="32">
        <f>C24*0.02</f>
        <v>279.150139805825</v>
      </c>
      <c r="D27" s="32">
        <f>D24*0.02</f>
        <v>25.3772854368932</v>
      </c>
      <c r="E27" s="72">
        <f t="shared" si="1"/>
        <v>304.527425242718</v>
      </c>
      <c r="F27" s="72">
        <f t="shared" si="2"/>
        <v>609.054850485437</v>
      </c>
      <c r="G27" s="73">
        <f>G24*0.02</f>
        <v>50.7545708737864</v>
      </c>
      <c r="H27" s="73">
        <f t="shared" ref="H27:R27" si="8">H24*0.02</f>
        <v>50.7545708737864</v>
      </c>
      <c r="I27" s="73">
        <f t="shared" si="8"/>
        <v>50.7545708737864</v>
      </c>
      <c r="J27" s="73">
        <f t="shared" si="8"/>
        <v>50.7545708737864</v>
      </c>
      <c r="K27" s="73">
        <f t="shared" si="8"/>
        <v>50.7545708737864</v>
      </c>
      <c r="L27" s="73">
        <f t="shared" si="8"/>
        <v>50.7545708737864</v>
      </c>
      <c r="M27" s="73">
        <f t="shared" si="8"/>
        <v>50.7545708737864</v>
      </c>
      <c r="N27" s="73">
        <f t="shared" si="8"/>
        <v>50.7545708737864</v>
      </c>
      <c r="O27" s="73">
        <f t="shared" si="8"/>
        <v>50.7545708737864</v>
      </c>
      <c r="P27" s="73">
        <f t="shared" si="8"/>
        <v>50.7545708737864</v>
      </c>
      <c r="Q27" s="73">
        <f t="shared" si="8"/>
        <v>50.7545708737864</v>
      </c>
      <c r="R27" s="73">
        <f t="shared" si="8"/>
        <v>50.7545708737864</v>
      </c>
      <c r="S27" s="69"/>
      <c r="T27" s="91" t="s">
        <v>17</v>
      </c>
      <c r="U27" s="91" t="s">
        <v>18</v>
      </c>
      <c r="V27" s="92" t="s">
        <v>57</v>
      </c>
    </row>
    <row r="28" s="43" customFormat="1" ht="23.25" customHeight="1" spans="1:22">
      <c r="A28" s="18">
        <v>23</v>
      </c>
      <c r="B28" s="19" t="s">
        <v>60</v>
      </c>
      <c r="C28" s="70"/>
      <c r="D28" s="70"/>
      <c r="E28" s="67">
        <f t="shared" si="1"/>
        <v>0</v>
      </c>
      <c r="F28" s="67">
        <f t="shared" si="2"/>
        <v>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91" t="s">
        <v>17</v>
      </c>
      <c r="U28" s="91" t="s">
        <v>18</v>
      </c>
      <c r="V28" s="92" t="s">
        <v>51</v>
      </c>
    </row>
    <row r="29" s="42" customFormat="1" ht="41.25" customHeight="1" spans="1:22">
      <c r="A29" s="65">
        <v>24</v>
      </c>
      <c r="B29" s="66" t="s">
        <v>61</v>
      </c>
      <c r="C29" s="72">
        <f>C6-C14-C23</f>
        <v>111511.792170874</v>
      </c>
      <c r="D29" s="72">
        <f t="shared" ref="D29:R29" si="9">D6-D14-D23</f>
        <v>9921.41201553398</v>
      </c>
      <c r="E29" s="72">
        <f t="shared" si="9"/>
        <v>121433.204186408</v>
      </c>
      <c r="F29" s="72">
        <f t="shared" si="2"/>
        <v>121384.008372816</v>
      </c>
      <c r="G29" s="72">
        <f t="shared" si="9"/>
        <v>8273.08403106796</v>
      </c>
      <c r="H29" s="72">
        <f t="shared" si="9"/>
        <v>9077.08403106796</v>
      </c>
      <c r="I29" s="72">
        <f t="shared" si="9"/>
        <v>10991.084031068</v>
      </c>
      <c r="J29" s="72">
        <f t="shared" si="9"/>
        <v>10068.084031068</v>
      </c>
      <c r="K29" s="72">
        <f t="shared" si="9"/>
        <v>13068.084031068</v>
      </c>
      <c r="L29" s="72">
        <f t="shared" si="9"/>
        <v>12618.084031068</v>
      </c>
      <c r="M29" s="72">
        <f t="shared" si="9"/>
        <v>11568.084031068</v>
      </c>
      <c r="N29" s="72">
        <f t="shared" si="9"/>
        <v>9688.08403106796</v>
      </c>
      <c r="O29" s="72">
        <f t="shared" si="9"/>
        <v>6728.08403106796</v>
      </c>
      <c r="P29" s="72">
        <f t="shared" si="9"/>
        <v>9728.08403106796</v>
      </c>
      <c r="Q29" s="72">
        <f t="shared" si="9"/>
        <v>9888.08403106796</v>
      </c>
      <c r="R29" s="72">
        <f t="shared" si="9"/>
        <v>9688.08403106796</v>
      </c>
      <c r="S29" s="89"/>
      <c r="T29" s="90"/>
      <c r="U29" s="90" t="s">
        <v>18</v>
      </c>
      <c r="V29" s="88"/>
    </row>
    <row r="30" s="42" customFormat="1" ht="27.75" customHeight="1" spans="1:22">
      <c r="A30" s="65">
        <v>25</v>
      </c>
      <c r="B30" s="66" t="s">
        <v>62</v>
      </c>
      <c r="C30" s="74">
        <f>C31+C32+C33+C34+C35+C38+C41+C47+C48+C49+C50+C51+C52</f>
        <v>47866.74</v>
      </c>
      <c r="D30" s="74">
        <f t="shared" ref="D30:R30" si="10">D31+D32+D33+D34+D35+D38+D41+D47+D48+D49+D50+D51+D52</f>
        <v>2582.21</v>
      </c>
      <c r="E30" s="74">
        <f t="shared" si="10"/>
        <v>50448.95</v>
      </c>
      <c r="F30" s="67">
        <f t="shared" si="2"/>
        <v>58913.35</v>
      </c>
      <c r="G30" s="74">
        <f t="shared" si="10"/>
        <v>4063.6125</v>
      </c>
      <c r="H30" s="74">
        <f t="shared" si="10"/>
        <v>4633.6125</v>
      </c>
      <c r="I30" s="74">
        <f t="shared" si="10"/>
        <v>5163.6125</v>
      </c>
      <c r="J30" s="74">
        <f t="shared" si="10"/>
        <v>6343.6125</v>
      </c>
      <c r="K30" s="74">
        <f t="shared" si="10"/>
        <v>4563.6125</v>
      </c>
      <c r="L30" s="74">
        <f t="shared" si="10"/>
        <v>4593.6125</v>
      </c>
      <c r="M30" s="74">
        <f t="shared" si="10"/>
        <v>4563.6125</v>
      </c>
      <c r="N30" s="74">
        <f t="shared" si="10"/>
        <v>5563.6125</v>
      </c>
      <c r="O30" s="74">
        <f t="shared" si="10"/>
        <v>4723.6125</v>
      </c>
      <c r="P30" s="74">
        <f t="shared" si="10"/>
        <v>4573.6125</v>
      </c>
      <c r="Q30" s="74">
        <f t="shared" si="10"/>
        <v>4563.6125</v>
      </c>
      <c r="R30" s="74">
        <f t="shared" si="10"/>
        <v>5563.6125</v>
      </c>
      <c r="S30" s="89"/>
      <c r="T30" s="90"/>
      <c r="U30" s="90" t="s">
        <v>18</v>
      </c>
      <c r="V30" s="88" t="s">
        <v>63</v>
      </c>
    </row>
    <row r="31" ht="23.25" customHeight="1" spans="1:22">
      <c r="A31" s="18">
        <v>26</v>
      </c>
      <c r="B31" s="19" t="s">
        <v>64</v>
      </c>
      <c r="C31" s="70"/>
      <c r="D31" s="70"/>
      <c r="E31" s="67">
        <f t="shared" si="1"/>
        <v>0</v>
      </c>
      <c r="F31" s="67">
        <f t="shared" si="2"/>
        <v>37800</v>
      </c>
      <c r="G31" s="68">
        <v>2800</v>
      </c>
      <c r="H31" s="68">
        <v>3000</v>
      </c>
      <c r="I31" s="68">
        <v>3200</v>
      </c>
      <c r="J31" s="68">
        <v>3200</v>
      </c>
      <c r="K31" s="68">
        <v>3200</v>
      </c>
      <c r="L31" s="68">
        <v>3200</v>
      </c>
      <c r="M31" s="68">
        <v>3200</v>
      </c>
      <c r="N31" s="68">
        <v>3200</v>
      </c>
      <c r="O31" s="68">
        <v>3200</v>
      </c>
      <c r="P31" s="68">
        <v>3200</v>
      </c>
      <c r="Q31" s="68">
        <v>3200</v>
      </c>
      <c r="R31" s="68">
        <v>3200</v>
      </c>
      <c r="S31" s="69"/>
      <c r="T31" s="93" t="s">
        <v>35</v>
      </c>
      <c r="U31" s="91" t="s">
        <v>18</v>
      </c>
      <c r="V31" s="92" t="s">
        <v>119</v>
      </c>
    </row>
    <row r="32" ht="30.75" customHeight="1" spans="1:22">
      <c r="A32" s="18">
        <v>27</v>
      </c>
      <c r="B32" s="19" t="s">
        <v>66</v>
      </c>
      <c r="C32" s="70"/>
      <c r="D32" s="70"/>
      <c r="E32" s="67">
        <f t="shared" si="1"/>
        <v>0</v>
      </c>
      <c r="F32" s="72">
        <f t="shared" si="2"/>
        <v>13603.35</v>
      </c>
      <c r="G32" s="75">
        <f>985.75*1*1.15</f>
        <v>1133.6125</v>
      </c>
      <c r="H32" s="75">
        <f t="shared" ref="H32:R32" si="11">985.75*1*1.15</f>
        <v>1133.6125</v>
      </c>
      <c r="I32" s="75">
        <f t="shared" si="11"/>
        <v>1133.6125</v>
      </c>
      <c r="J32" s="75">
        <f t="shared" si="11"/>
        <v>1133.6125</v>
      </c>
      <c r="K32" s="75">
        <f t="shared" si="11"/>
        <v>1133.6125</v>
      </c>
      <c r="L32" s="75">
        <f t="shared" si="11"/>
        <v>1133.6125</v>
      </c>
      <c r="M32" s="75">
        <f t="shared" si="11"/>
        <v>1133.6125</v>
      </c>
      <c r="N32" s="75">
        <f t="shared" si="11"/>
        <v>1133.6125</v>
      </c>
      <c r="O32" s="75">
        <f t="shared" si="11"/>
        <v>1133.6125</v>
      </c>
      <c r="P32" s="75">
        <f t="shared" si="11"/>
        <v>1133.6125</v>
      </c>
      <c r="Q32" s="75">
        <f t="shared" si="11"/>
        <v>1133.6125</v>
      </c>
      <c r="R32" s="75">
        <f t="shared" si="11"/>
        <v>1133.6125</v>
      </c>
      <c r="S32" s="69"/>
      <c r="T32" s="93" t="s">
        <v>35</v>
      </c>
      <c r="U32" s="91" t="s">
        <v>18</v>
      </c>
      <c r="V32" s="92" t="s">
        <v>67</v>
      </c>
    </row>
    <row r="33" ht="36.75" customHeight="1" spans="1:22">
      <c r="A33" s="18">
        <v>28</v>
      </c>
      <c r="B33" s="19" t="s">
        <v>68</v>
      </c>
      <c r="C33" s="70"/>
      <c r="D33" s="70"/>
      <c r="E33" s="67">
        <f t="shared" si="1"/>
        <v>0</v>
      </c>
      <c r="F33" s="67">
        <f t="shared" si="2"/>
        <v>470</v>
      </c>
      <c r="G33" s="68"/>
      <c r="H33" s="68">
        <v>270</v>
      </c>
      <c r="I33" s="83"/>
      <c r="J33" s="68">
        <v>0</v>
      </c>
      <c r="K33" s="68">
        <v>0</v>
      </c>
      <c r="L33" s="68">
        <v>30</v>
      </c>
      <c r="M33" s="68">
        <v>0</v>
      </c>
      <c r="N33" s="68">
        <v>0</v>
      </c>
      <c r="O33" s="83">
        <v>160</v>
      </c>
      <c r="P33" s="83">
        <v>10</v>
      </c>
      <c r="Q33" s="68">
        <v>0</v>
      </c>
      <c r="R33" s="68">
        <v>0</v>
      </c>
      <c r="S33" s="69"/>
      <c r="T33" s="93" t="s">
        <v>35</v>
      </c>
      <c r="U33" s="91" t="s">
        <v>18</v>
      </c>
      <c r="V33" s="92" t="s">
        <v>69</v>
      </c>
    </row>
    <row r="34" s="39" customFormat="1" ht="36.75" customHeight="1" spans="1:22">
      <c r="A34" s="18">
        <v>29</v>
      </c>
      <c r="B34" s="19" t="s">
        <v>70</v>
      </c>
      <c r="C34" s="70">
        <v>855</v>
      </c>
      <c r="D34" s="70"/>
      <c r="E34" s="67">
        <f t="shared" si="1"/>
        <v>855</v>
      </c>
      <c r="F34" s="67">
        <f t="shared" si="2"/>
        <v>1100</v>
      </c>
      <c r="G34" s="68">
        <v>0</v>
      </c>
      <c r="H34" s="68">
        <v>100</v>
      </c>
      <c r="I34" s="68">
        <v>100</v>
      </c>
      <c r="J34" s="68">
        <v>100</v>
      </c>
      <c r="K34" s="68">
        <v>100</v>
      </c>
      <c r="L34" s="68">
        <v>100</v>
      </c>
      <c r="M34" s="68">
        <v>100</v>
      </c>
      <c r="N34" s="68">
        <v>100</v>
      </c>
      <c r="O34" s="68">
        <v>100</v>
      </c>
      <c r="P34" s="68">
        <v>100</v>
      </c>
      <c r="Q34" s="68">
        <v>100</v>
      </c>
      <c r="R34" s="68">
        <v>100</v>
      </c>
      <c r="S34" s="69"/>
      <c r="T34" s="93" t="s">
        <v>40</v>
      </c>
      <c r="U34" s="91" t="s">
        <v>18</v>
      </c>
      <c r="V34" s="92" t="s">
        <v>71</v>
      </c>
    </row>
    <row r="35" s="42" customFormat="1" ht="25.5" customHeight="1" spans="1:22">
      <c r="A35" s="65">
        <v>30</v>
      </c>
      <c r="B35" s="66" t="s">
        <v>72</v>
      </c>
      <c r="C35" s="67">
        <f>C36+C37</f>
        <v>0</v>
      </c>
      <c r="D35" s="67">
        <f t="shared" ref="D35:R35" si="12">D36+D37</f>
        <v>0</v>
      </c>
      <c r="E35" s="67">
        <f t="shared" si="12"/>
        <v>0</v>
      </c>
      <c r="F35" s="67">
        <f t="shared" si="2"/>
        <v>0</v>
      </c>
      <c r="G35" s="67">
        <f t="shared" si="12"/>
        <v>0</v>
      </c>
      <c r="H35" s="67">
        <f t="shared" si="12"/>
        <v>0</v>
      </c>
      <c r="I35" s="67">
        <f t="shared" si="12"/>
        <v>0</v>
      </c>
      <c r="J35" s="67">
        <f t="shared" si="12"/>
        <v>0</v>
      </c>
      <c r="K35" s="67">
        <f t="shared" si="12"/>
        <v>0</v>
      </c>
      <c r="L35" s="67">
        <f t="shared" si="12"/>
        <v>0</v>
      </c>
      <c r="M35" s="67">
        <f t="shared" si="12"/>
        <v>0</v>
      </c>
      <c r="N35" s="67">
        <f t="shared" si="12"/>
        <v>0</v>
      </c>
      <c r="O35" s="67">
        <f t="shared" si="12"/>
        <v>0</v>
      </c>
      <c r="P35" s="67">
        <f t="shared" si="12"/>
        <v>0</v>
      </c>
      <c r="Q35" s="67">
        <f t="shared" si="12"/>
        <v>0</v>
      </c>
      <c r="R35" s="67">
        <f t="shared" si="12"/>
        <v>0</v>
      </c>
      <c r="S35" s="89"/>
      <c r="T35" s="90"/>
      <c r="U35" s="90"/>
      <c r="V35" s="88"/>
    </row>
    <row r="36" s="39" customFormat="1" ht="25.5" customHeight="1" spans="1:22">
      <c r="A36" s="30">
        <v>31</v>
      </c>
      <c r="B36" s="28" t="s">
        <v>74</v>
      </c>
      <c r="C36" s="76"/>
      <c r="D36" s="76"/>
      <c r="E36" s="67">
        <f t="shared" ref="E36" si="13">E37+E38</f>
        <v>0</v>
      </c>
      <c r="F36" s="67">
        <f t="shared" si="2"/>
        <v>0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94" t="s">
        <v>40</v>
      </c>
      <c r="U36" s="94" t="s">
        <v>18</v>
      </c>
      <c r="V36" s="95" t="s">
        <v>73</v>
      </c>
    </row>
    <row r="37" s="39" customFormat="1" ht="25.5" customHeight="1" spans="1:22">
      <c r="A37" s="30">
        <v>32</v>
      </c>
      <c r="B37" s="28" t="s">
        <v>75</v>
      </c>
      <c r="C37" s="76"/>
      <c r="D37" s="76"/>
      <c r="E37" s="67">
        <f t="shared" ref="E37" si="14">E38+E39</f>
        <v>0</v>
      </c>
      <c r="F37" s="67">
        <f t="shared" si="2"/>
        <v>0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94"/>
      <c r="U37" s="94" t="s">
        <v>18</v>
      </c>
      <c r="V37" s="95"/>
    </row>
    <row r="38" s="42" customFormat="1" ht="25.5" customHeight="1" spans="1:22">
      <c r="A38" s="65">
        <v>33</v>
      </c>
      <c r="B38" s="66" t="s">
        <v>76</v>
      </c>
      <c r="C38" s="74">
        <f>C39+C40</f>
        <v>0</v>
      </c>
      <c r="D38" s="74">
        <f t="shared" ref="D38:R38" si="15">D39+D40</f>
        <v>0</v>
      </c>
      <c r="E38" s="74">
        <f t="shared" si="15"/>
        <v>0</v>
      </c>
      <c r="F38" s="67">
        <f t="shared" si="2"/>
        <v>0</v>
      </c>
      <c r="G38" s="74">
        <f t="shared" si="15"/>
        <v>0</v>
      </c>
      <c r="H38" s="74">
        <f t="shared" si="15"/>
        <v>0</v>
      </c>
      <c r="I38" s="74">
        <f t="shared" si="15"/>
        <v>0</v>
      </c>
      <c r="J38" s="74">
        <f t="shared" si="15"/>
        <v>0</v>
      </c>
      <c r="K38" s="74">
        <f t="shared" si="15"/>
        <v>0</v>
      </c>
      <c r="L38" s="74">
        <f t="shared" si="15"/>
        <v>0</v>
      </c>
      <c r="M38" s="74">
        <f t="shared" si="15"/>
        <v>0</v>
      </c>
      <c r="N38" s="74">
        <f t="shared" si="15"/>
        <v>0</v>
      </c>
      <c r="O38" s="74">
        <f t="shared" si="15"/>
        <v>0</v>
      </c>
      <c r="P38" s="74">
        <f t="shared" si="15"/>
        <v>0</v>
      </c>
      <c r="Q38" s="74">
        <f t="shared" si="15"/>
        <v>0</v>
      </c>
      <c r="R38" s="74">
        <f t="shared" si="15"/>
        <v>0</v>
      </c>
      <c r="S38" s="89"/>
      <c r="T38" s="90"/>
      <c r="U38" s="90" t="s">
        <v>18</v>
      </c>
      <c r="V38" s="88"/>
    </row>
    <row r="39" s="39" customFormat="1" ht="25.5" customHeight="1" spans="1:22">
      <c r="A39" s="30">
        <v>34</v>
      </c>
      <c r="B39" s="28" t="s">
        <v>77</v>
      </c>
      <c r="C39" s="76"/>
      <c r="D39" s="76"/>
      <c r="E39" s="78">
        <f t="shared" si="1"/>
        <v>0</v>
      </c>
      <c r="F39" s="67">
        <f t="shared" si="2"/>
        <v>0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94"/>
      <c r="U39" s="94" t="s">
        <v>18</v>
      </c>
      <c r="V39" s="95"/>
    </row>
    <row r="40" s="39" customFormat="1" ht="34.5" customHeight="1" spans="1:22">
      <c r="A40" s="30">
        <v>35</v>
      </c>
      <c r="B40" s="28" t="s">
        <v>78</v>
      </c>
      <c r="C40" s="76"/>
      <c r="D40" s="76"/>
      <c r="E40" s="78">
        <f t="shared" si="1"/>
        <v>0</v>
      </c>
      <c r="F40" s="67">
        <f t="shared" si="2"/>
        <v>0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94"/>
      <c r="U40" s="94" t="s">
        <v>18</v>
      </c>
      <c r="V40" s="95"/>
    </row>
    <row r="41" s="42" customFormat="1" ht="34.5" customHeight="1" spans="1:22">
      <c r="A41" s="65">
        <v>36</v>
      </c>
      <c r="B41" s="66" t="s">
        <v>79</v>
      </c>
      <c r="C41" s="67">
        <f>C42+C43+C44+C45+C46</f>
        <v>1542</v>
      </c>
      <c r="D41" s="67">
        <f t="shared" ref="D41:R41" si="16">D42+D43+D44+D45+D46</f>
        <v>0</v>
      </c>
      <c r="E41" s="67">
        <f t="shared" si="16"/>
        <v>1542</v>
      </c>
      <c r="F41" s="67">
        <f t="shared" si="2"/>
        <v>3160</v>
      </c>
      <c r="G41" s="67">
        <f t="shared" si="16"/>
        <v>130</v>
      </c>
      <c r="H41" s="67">
        <f t="shared" si="16"/>
        <v>130</v>
      </c>
      <c r="I41" s="67">
        <f t="shared" si="16"/>
        <v>730</v>
      </c>
      <c r="J41" s="67">
        <f t="shared" si="16"/>
        <v>130</v>
      </c>
      <c r="K41" s="67">
        <f t="shared" si="16"/>
        <v>130</v>
      </c>
      <c r="L41" s="67">
        <f t="shared" si="16"/>
        <v>130</v>
      </c>
      <c r="M41" s="67">
        <f t="shared" si="16"/>
        <v>130</v>
      </c>
      <c r="N41" s="67">
        <f t="shared" si="16"/>
        <v>1130</v>
      </c>
      <c r="O41" s="67">
        <f t="shared" si="16"/>
        <v>130</v>
      </c>
      <c r="P41" s="67">
        <f t="shared" si="16"/>
        <v>130</v>
      </c>
      <c r="Q41" s="67">
        <f t="shared" si="16"/>
        <v>130</v>
      </c>
      <c r="R41" s="67">
        <f t="shared" si="16"/>
        <v>130</v>
      </c>
      <c r="S41" s="89"/>
      <c r="T41" s="90"/>
      <c r="U41" s="90" t="s">
        <v>18</v>
      </c>
      <c r="V41" s="88" t="s">
        <v>80</v>
      </c>
    </row>
    <row r="42" s="39" customFormat="1" ht="34.5" customHeight="1" spans="1:22">
      <c r="A42" s="30">
        <v>37</v>
      </c>
      <c r="B42" s="28" t="s">
        <v>81</v>
      </c>
      <c r="C42" s="78">
        <v>1542</v>
      </c>
      <c r="D42" s="78"/>
      <c r="E42" s="67">
        <f t="shared" si="1"/>
        <v>1542</v>
      </c>
      <c r="F42" s="67">
        <f t="shared" si="2"/>
        <v>2160</v>
      </c>
      <c r="G42" s="68">
        <v>130</v>
      </c>
      <c r="H42" s="68">
        <v>130</v>
      </c>
      <c r="I42" s="68">
        <v>730</v>
      </c>
      <c r="J42" s="68">
        <v>130</v>
      </c>
      <c r="K42" s="68">
        <v>130</v>
      </c>
      <c r="L42" s="68">
        <v>130</v>
      </c>
      <c r="M42" s="68">
        <v>130</v>
      </c>
      <c r="N42" s="68">
        <v>130</v>
      </c>
      <c r="O42" s="68">
        <v>130</v>
      </c>
      <c r="P42" s="68">
        <v>130</v>
      </c>
      <c r="Q42" s="68">
        <v>130</v>
      </c>
      <c r="R42" s="68">
        <v>130</v>
      </c>
      <c r="S42" s="96"/>
      <c r="T42" s="94" t="s">
        <v>40</v>
      </c>
      <c r="U42" s="94" t="s">
        <v>18</v>
      </c>
      <c r="V42" s="95"/>
    </row>
    <row r="43" s="39" customFormat="1" ht="34.5" customHeight="1" spans="1:22">
      <c r="A43" s="30">
        <v>38</v>
      </c>
      <c r="B43" s="28" t="s">
        <v>82</v>
      </c>
      <c r="C43" s="78"/>
      <c r="D43" s="78"/>
      <c r="E43" s="67">
        <f t="shared" si="1"/>
        <v>0</v>
      </c>
      <c r="F43" s="67">
        <f t="shared" si="2"/>
        <v>1000</v>
      </c>
      <c r="G43" s="68"/>
      <c r="H43" s="68"/>
      <c r="I43" s="68"/>
      <c r="J43" s="68"/>
      <c r="K43" s="68"/>
      <c r="L43" s="68"/>
      <c r="M43" s="68"/>
      <c r="N43" s="68">
        <v>1000</v>
      </c>
      <c r="O43" s="68"/>
      <c r="P43" s="68"/>
      <c r="Q43" s="68"/>
      <c r="R43" s="68"/>
      <c r="S43" s="96"/>
      <c r="T43" s="94" t="s">
        <v>40</v>
      </c>
      <c r="U43" s="94" t="s">
        <v>18</v>
      </c>
      <c r="V43" s="95"/>
    </row>
    <row r="44" s="39" customFormat="1" ht="34.5" customHeight="1" spans="1:22">
      <c r="A44" s="30">
        <v>39</v>
      </c>
      <c r="B44" s="28" t="s">
        <v>83</v>
      </c>
      <c r="C44" s="78"/>
      <c r="D44" s="78"/>
      <c r="E44" s="67">
        <f t="shared" si="1"/>
        <v>0</v>
      </c>
      <c r="F44" s="67">
        <f t="shared" si="2"/>
        <v>0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96"/>
      <c r="T44" s="94" t="s">
        <v>40</v>
      </c>
      <c r="U44" s="94" t="s">
        <v>18</v>
      </c>
      <c r="V44" s="95"/>
    </row>
    <row r="45" s="39" customFormat="1" ht="34.5" customHeight="1" spans="1:22">
      <c r="A45" s="30">
        <v>40</v>
      </c>
      <c r="B45" s="28" t="s">
        <v>84</v>
      </c>
      <c r="C45" s="78"/>
      <c r="D45" s="78"/>
      <c r="E45" s="67">
        <f t="shared" si="1"/>
        <v>0</v>
      </c>
      <c r="F45" s="67">
        <f t="shared" si="2"/>
        <v>0</v>
      </c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96"/>
      <c r="T45" s="94" t="s">
        <v>40</v>
      </c>
      <c r="U45" s="94" t="s">
        <v>18</v>
      </c>
      <c r="V45" s="95"/>
    </row>
    <row r="46" s="39" customFormat="1" ht="24.75" customHeight="1" spans="1:22">
      <c r="A46" s="30">
        <v>41</v>
      </c>
      <c r="B46" s="28" t="s">
        <v>85</v>
      </c>
      <c r="C46" s="78"/>
      <c r="D46" s="78"/>
      <c r="E46" s="67">
        <f t="shared" si="1"/>
        <v>0</v>
      </c>
      <c r="F46" s="67">
        <f t="shared" si="2"/>
        <v>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96"/>
      <c r="T46" s="94" t="s">
        <v>35</v>
      </c>
      <c r="U46" s="94" t="s">
        <v>18</v>
      </c>
      <c r="V46" s="95"/>
    </row>
    <row r="47" ht="20.25" customHeight="1" spans="1:22">
      <c r="A47" s="18">
        <v>42</v>
      </c>
      <c r="B47" s="19" t="s">
        <v>86</v>
      </c>
      <c r="C47" s="70"/>
      <c r="D47" s="70"/>
      <c r="E47" s="67">
        <f t="shared" si="1"/>
        <v>0</v>
      </c>
      <c r="F47" s="67">
        <f t="shared" si="2"/>
        <v>0</v>
      </c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9"/>
      <c r="T47" s="93" t="s">
        <v>40</v>
      </c>
      <c r="U47" s="91" t="s">
        <v>18</v>
      </c>
      <c r="V47" s="92" t="s">
        <v>80</v>
      </c>
    </row>
    <row r="48" ht="24" customHeight="1" spans="1:22">
      <c r="A48" s="18">
        <v>43</v>
      </c>
      <c r="B48" s="19" t="s">
        <v>87</v>
      </c>
      <c r="C48" s="70"/>
      <c r="D48" s="70"/>
      <c r="E48" s="67">
        <f t="shared" si="1"/>
        <v>0</v>
      </c>
      <c r="F48" s="67">
        <f t="shared" si="2"/>
        <v>0</v>
      </c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9"/>
      <c r="T48" s="93" t="s">
        <v>40</v>
      </c>
      <c r="U48" s="91" t="s">
        <v>18</v>
      </c>
      <c r="V48" s="92" t="s">
        <v>80</v>
      </c>
    </row>
    <row r="49" ht="23.25" customHeight="1" spans="1:22">
      <c r="A49" s="18">
        <v>44</v>
      </c>
      <c r="B49" s="19" t="s">
        <v>88</v>
      </c>
      <c r="C49" s="70">
        <v>290</v>
      </c>
      <c r="D49" s="70"/>
      <c r="E49" s="67">
        <f t="shared" si="1"/>
        <v>290</v>
      </c>
      <c r="F49" s="67">
        <f t="shared" si="2"/>
        <v>1000</v>
      </c>
      <c r="G49" s="68"/>
      <c r="H49" s="79"/>
      <c r="I49" s="68"/>
      <c r="J49" s="68"/>
      <c r="K49" s="68"/>
      <c r="L49" s="68"/>
      <c r="M49" s="68"/>
      <c r="N49" s="68"/>
      <c r="O49" s="68"/>
      <c r="P49" s="68"/>
      <c r="Q49" s="68"/>
      <c r="R49" s="68">
        <v>1000</v>
      </c>
      <c r="S49" s="69"/>
      <c r="T49" s="93" t="s">
        <v>40</v>
      </c>
      <c r="U49" s="91" t="s">
        <v>18</v>
      </c>
      <c r="V49" s="92" t="s">
        <v>80</v>
      </c>
    </row>
    <row r="50" ht="23.25" customHeight="1" spans="1:22">
      <c r="A50" s="18">
        <v>45</v>
      </c>
      <c r="B50" s="19" t="s">
        <v>89</v>
      </c>
      <c r="C50" s="70">
        <v>0</v>
      </c>
      <c r="D50" s="70"/>
      <c r="E50" s="67">
        <f t="shared" si="1"/>
        <v>0</v>
      </c>
      <c r="F50" s="67">
        <f t="shared" si="2"/>
        <v>0</v>
      </c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9"/>
      <c r="T50" s="93" t="s">
        <v>40</v>
      </c>
      <c r="U50" s="91" t="s">
        <v>18</v>
      </c>
      <c r="V50" s="92" t="s">
        <v>80</v>
      </c>
    </row>
    <row r="51" ht="23.25" customHeight="1" spans="1:22">
      <c r="A51" s="18">
        <v>46</v>
      </c>
      <c r="B51" s="19" t="s">
        <v>90</v>
      </c>
      <c r="C51" s="70">
        <v>616</v>
      </c>
      <c r="D51" s="70">
        <v>533</v>
      </c>
      <c r="E51" s="67">
        <f t="shared" si="1"/>
        <v>1149</v>
      </c>
      <c r="F51" s="67">
        <f t="shared" si="2"/>
        <v>1780</v>
      </c>
      <c r="G51" s="68"/>
      <c r="H51" s="68"/>
      <c r="I51" s="68"/>
      <c r="J51" s="68">
        <f>800+140*7</f>
        <v>1780</v>
      </c>
      <c r="K51" s="68"/>
      <c r="L51" s="68"/>
      <c r="M51" s="68"/>
      <c r="N51" s="68"/>
      <c r="O51" s="68"/>
      <c r="P51" s="68"/>
      <c r="Q51" s="68"/>
      <c r="R51" s="68"/>
      <c r="S51" s="69"/>
      <c r="T51" s="93" t="s">
        <v>91</v>
      </c>
      <c r="U51" s="91" t="s">
        <v>18</v>
      </c>
      <c r="V51" s="92" t="s">
        <v>92</v>
      </c>
    </row>
    <row r="52" s="43" customFormat="1" ht="23.25" customHeight="1" spans="1:22">
      <c r="A52" s="18">
        <v>47</v>
      </c>
      <c r="B52" s="19" t="s">
        <v>93</v>
      </c>
      <c r="C52" s="70">
        <v>44563.74</v>
      </c>
      <c r="D52" s="70">
        <v>2049.21</v>
      </c>
      <c r="E52" s="67">
        <f t="shared" si="1"/>
        <v>46612.95</v>
      </c>
      <c r="F52" s="67">
        <f t="shared" si="2"/>
        <v>0</v>
      </c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9"/>
      <c r="T52" s="93"/>
      <c r="U52" s="91" t="s">
        <v>18</v>
      </c>
      <c r="V52" s="92" t="s">
        <v>51</v>
      </c>
    </row>
    <row r="53" s="42" customFormat="1" ht="23.25" customHeight="1" spans="1:22">
      <c r="A53" s="65">
        <v>48</v>
      </c>
      <c r="B53" s="66" t="s">
        <v>94</v>
      </c>
      <c r="C53" s="67">
        <f>C54+C55+C56</f>
        <v>0</v>
      </c>
      <c r="D53" s="67">
        <f t="shared" ref="D53:R53" si="17">D54+D55+D56</f>
        <v>0</v>
      </c>
      <c r="E53" s="67">
        <f t="shared" si="17"/>
        <v>0</v>
      </c>
      <c r="F53" s="67">
        <f t="shared" si="2"/>
        <v>0</v>
      </c>
      <c r="G53" s="67">
        <f t="shared" si="17"/>
        <v>0</v>
      </c>
      <c r="H53" s="67">
        <f t="shared" si="17"/>
        <v>0</v>
      </c>
      <c r="I53" s="67">
        <f t="shared" si="17"/>
        <v>0</v>
      </c>
      <c r="J53" s="67">
        <f t="shared" si="17"/>
        <v>0</v>
      </c>
      <c r="K53" s="67">
        <f t="shared" si="17"/>
        <v>0</v>
      </c>
      <c r="L53" s="67">
        <f t="shared" si="17"/>
        <v>0</v>
      </c>
      <c r="M53" s="67">
        <f t="shared" si="17"/>
        <v>0</v>
      </c>
      <c r="N53" s="67">
        <f t="shared" si="17"/>
        <v>0</v>
      </c>
      <c r="O53" s="67">
        <f t="shared" si="17"/>
        <v>0</v>
      </c>
      <c r="P53" s="67">
        <f t="shared" si="17"/>
        <v>0</v>
      </c>
      <c r="Q53" s="67">
        <f t="shared" si="17"/>
        <v>0</v>
      </c>
      <c r="R53" s="67">
        <f t="shared" si="17"/>
        <v>0</v>
      </c>
      <c r="S53" s="89"/>
      <c r="T53" s="90"/>
      <c r="U53" s="90" t="s">
        <v>18</v>
      </c>
      <c r="V53" s="88" t="s">
        <v>95</v>
      </c>
    </row>
    <row r="54" ht="23.25" customHeight="1" spans="1:22">
      <c r="A54" s="18">
        <v>49</v>
      </c>
      <c r="B54" s="19" t="s">
        <v>96</v>
      </c>
      <c r="C54" s="70"/>
      <c r="D54" s="70"/>
      <c r="E54" s="67">
        <f t="shared" si="1"/>
        <v>0</v>
      </c>
      <c r="F54" s="67">
        <f t="shared" si="2"/>
        <v>0</v>
      </c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91" t="s">
        <v>17</v>
      </c>
      <c r="U54" s="91" t="s">
        <v>18</v>
      </c>
      <c r="V54" s="92" t="s">
        <v>51</v>
      </c>
    </row>
    <row r="55" ht="23.25" customHeight="1" spans="1:22">
      <c r="A55" s="18">
        <v>50</v>
      </c>
      <c r="B55" s="19" t="s">
        <v>97</v>
      </c>
      <c r="C55" s="70"/>
      <c r="D55" s="70"/>
      <c r="E55" s="67">
        <f t="shared" si="1"/>
        <v>0</v>
      </c>
      <c r="F55" s="67">
        <f t="shared" si="2"/>
        <v>0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91" t="s">
        <v>17</v>
      </c>
      <c r="U55" s="91" t="s">
        <v>18</v>
      </c>
      <c r="V55" s="92" t="s">
        <v>51</v>
      </c>
    </row>
    <row r="56" s="43" customFormat="1" ht="23.25" customHeight="1" spans="1:22">
      <c r="A56" s="18">
        <v>51</v>
      </c>
      <c r="B56" s="19" t="s">
        <v>98</v>
      </c>
      <c r="C56" s="70"/>
      <c r="D56" s="70"/>
      <c r="E56" s="67">
        <f t="shared" si="1"/>
        <v>0</v>
      </c>
      <c r="F56" s="67">
        <f t="shared" si="2"/>
        <v>0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97"/>
      <c r="T56" s="91" t="s">
        <v>17</v>
      </c>
      <c r="U56" s="91" t="s">
        <v>18</v>
      </c>
      <c r="V56" s="92" t="s">
        <v>51</v>
      </c>
    </row>
    <row r="57" s="42" customFormat="1" ht="23.25" customHeight="1" spans="1:22">
      <c r="A57" s="65">
        <v>52</v>
      </c>
      <c r="B57" s="66" t="s">
        <v>99</v>
      </c>
      <c r="C57" s="72">
        <f>C29-C30-C53</f>
        <v>63645.0521708738</v>
      </c>
      <c r="D57" s="72">
        <f t="shared" ref="D57:R57" si="18">D29-D30-D53</f>
        <v>7339.20201553398</v>
      </c>
      <c r="E57" s="72">
        <f t="shared" si="18"/>
        <v>70984.2541864077</v>
      </c>
      <c r="F57" s="72">
        <f t="shared" si="2"/>
        <v>62470.6583728155</v>
      </c>
      <c r="G57" s="72">
        <f t="shared" si="18"/>
        <v>4209.47153106796</v>
      </c>
      <c r="H57" s="72">
        <f t="shared" si="18"/>
        <v>4443.47153106796</v>
      </c>
      <c r="I57" s="72">
        <f t="shared" si="18"/>
        <v>5827.47153106796</v>
      </c>
      <c r="J57" s="72">
        <f t="shared" si="18"/>
        <v>3724.47153106796</v>
      </c>
      <c r="K57" s="72">
        <f t="shared" si="18"/>
        <v>8504.47153106796</v>
      </c>
      <c r="L57" s="72">
        <f t="shared" si="18"/>
        <v>8024.47153106796</v>
      </c>
      <c r="M57" s="72">
        <f t="shared" si="18"/>
        <v>7004.47153106796</v>
      </c>
      <c r="N57" s="72">
        <f t="shared" si="18"/>
        <v>4124.47153106796</v>
      </c>
      <c r="O57" s="72">
        <f t="shared" si="18"/>
        <v>2004.47153106796</v>
      </c>
      <c r="P57" s="72">
        <f t="shared" si="18"/>
        <v>5154.47153106796</v>
      </c>
      <c r="Q57" s="72">
        <f t="shared" si="18"/>
        <v>5324.47153106796</v>
      </c>
      <c r="R57" s="72">
        <f t="shared" si="18"/>
        <v>4124.47153106796</v>
      </c>
      <c r="S57" s="89"/>
      <c r="T57" s="90"/>
      <c r="U57" s="90" t="s">
        <v>18</v>
      </c>
      <c r="V57" s="88"/>
    </row>
    <row r="58" s="43" customFormat="1" ht="23.25" customHeight="1" spans="1:22">
      <c r="A58" s="18">
        <v>53</v>
      </c>
      <c r="B58" s="16" t="s">
        <v>100</v>
      </c>
      <c r="C58" s="80"/>
      <c r="D58" s="80"/>
      <c r="E58" s="67">
        <f t="shared" si="1"/>
        <v>0</v>
      </c>
      <c r="F58" s="67">
        <f t="shared" si="2"/>
        <v>0</v>
      </c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98"/>
      <c r="S58" s="81"/>
      <c r="T58" s="99"/>
      <c r="U58" s="99" t="s">
        <v>18</v>
      </c>
      <c r="V58" s="100" t="s">
        <v>51</v>
      </c>
    </row>
    <row r="59" s="43" customFormat="1" ht="23.25" customHeight="1" spans="1:22">
      <c r="A59" s="18">
        <v>54</v>
      </c>
      <c r="B59" s="16" t="s">
        <v>101</v>
      </c>
      <c r="C59" s="80"/>
      <c r="D59" s="80"/>
      <c r="E59" s="67">
        <f t="shared" si="1"/>
        <v>0</v>
      </c>
      <c r="F59" s="67">
        <f t="shared" si="2"/>
        <v>0</v>
      </c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98"/>
      <c r="S59" s="81"/>
      <c r="T59" s="99"/>
      <c r="U59" s="99" t="s">
        <v>18</v>
      </c>
      <c r="V59" s="100" t="s">
        <v>51</v>
      </c>
    </row>
    <row r="60" s="43" customFormat="1" ht="23.25" customHeight="1" spans="1:22">
      <c r="A60" s="18">
        <v>55</v>
      </c>
      <c r="B60" s="16" t="s">
        <v>102</v>
      </c>
      <c r="C60" s="80"/>
      <c r="D60" s="80"/>
      <c r="E60" s="67">
        <f t="shared" si="1"/>
        <v>0</v>
      </c>
      <c r="F60" s="67">
        <f t="shared" si="2"/>
        <v>0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98"/>
      <c r="S60" s="81"/>
      <c r="T60" s="99"/>
      <c r="U60" s="99" t="s">
        <v>18</v>
      </c>
      <c r="V60" s="100" t="s">
        <v>51</v>
      </c>
    </row>
    <row r="61" s="43" customFormat="1" ht="23.25" customHeight="1" spans="1:22">
      <c r="A61" s="18">
        <v>56</v>
      </c>
      <c r="B61" s="16" t="s">
        <v>103</v>
      </c>
      <c r="C61" s="80">
        <v>1200</v>
      </c>
      <c r="D61" s="80"/>
      <c r="E61" s="67">
        <f t="shared" si="1"/>
        <v>1200</v>
      </c>
      <c r="F61" s="67">
        <f t="shared" si="2"/>
        <v>0</v>
      </c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98"/>
      <c r="S61" s="81"/>
      <c r="T61" s="99"/>
      <c r="U61" s="99" t="s">
        <v>18</v>
      </c>
      <c r="V61" s="100" t="s">
        <v>51</v>
      </c>
    </row>
    <row r="62" s="42" customFormat="1" ht="23.25" customHeight="1" spans="1:22">
      <c r="A62" s="65">
        <v>57</v>
      </c>
      <c r="B62" s="66" t="s">
        <v>104</v>
      </c>
      <c r="C62" s="72">
        <f>C57+C58-C59+C60-C61</f>
        <v>62445.0521708738</v>
      </c>
      <c r="D62" s="72">
        <f t="shared" ref="D62:R62" si="19">D57+D58-D59+D60-D61</f>
        <v>7339.20201553398</v>
      </c>
      <c r="E62" s="72">
        <f t="shared" si="19"/>
        <v>69784.2541864077</v>
      </c>
      <c r="F62" s="72">
        <f t="shared" si="2"/>
        <v>62470.6583728155</v>
      </c>
      <c r="G62" s="72">
        <f t="shared" si="19"/>
        <v>4209.47153106796</v>
      </c>
      <c r="H62" s="72">
        <f t="shared" si="19"/>
        <v>4443.47153106796</v>
      </c>
      <c r="I62" s="72">
        <f t="shared" si="19"/>
        <v>5827.47153106796</v>
      </c>
      <c r="J62" s="72">
        <f t="shared" si="19"/>
        <v>3724.47153106796</v>
      </c>
      <c r="K62" s="72">
        <f t="shared" si="19"/>
        <v>8504.47153106796</v>
      </c>
      <c r="L62" s="72">
        <f t="shared" si="19"/>
        <v>8024.47153106796</v>
      </c>
      <c r="M62" s="72">
        <f t="shared" si="19"/>
        <v>7004.47153106796</v>
      </c>
      <c r="N62" s="72">
        <f t="shared" si="19"/>
        <v>4124.47153106796</v>
      </c>
      <c r="O62" s="72">
        <f t="shared" si="19"/>
        <v>2004.47153106796</v>
      </c>
      <c r="P62" s="72">
        <f t="shared" si="19"/>
        <v>5154.47153106796</v>
      </c>
      <c r="Q62" s="72">
        <f t="shared" si="19"/>
        <v>5324.47153106796</v>
      </c>
      <c r="R62" s="72">
        <f t="shared" si="19"/>
        <v>4124.47153106796</v>
      </c>
      <c r="S62" s="89"/>
      <c r="T62" s="90"/>
      <c r="U62" s="90"/>
      <c r="V62" s="88"/>
    </row>
    <row r="63" s="42" customFormat="1" ht="23.25" customHeight="1" spans="1:22">
      <c r="A63" s="65">
        <v>58</v>
      </c>
      <c r="B63" s="82" t="s">
        <v>105</v>
      </c>
      <c r="C63" s="72">
        <f>C62*0.25</f>
        <v>15611.2630427185</v>
      </c>
      <c r="D63" s="72">
        <f t="shared" ref="D63:R63" si="20">D62*0.25</f>
        <v>1834.80050388349</v>
      </c>
      <c r="E63" s="72">
        <f t="shared" si="20"/>
        <v>17446.0635466019</v>
      </c>
      <c r="F63" s="72">
        <f t="shared" si="2"/>
        <v>15617.6645932039</v>
      </c>
      <c r="G63" s="72">
        <f t="shared" si="20"/>
        <v>1052.36788276699</v>
      </c>
      <c r="H63" s="72">
        <f t="shared" si="20"/>
        <v>1110.86788276699</v>
      </c>
      <c r="I63" s="72">
        <f t="shared" si="20"/>
        <v>1456.86788276699</v>
      </c>
      <c r="J63" s="72">
        <f t="shared" si="20"/>
        <v>931.117882766989</v>
      </c>
      <c r="K63" s="72">
        <f t="shared" si="20"/>
        <v>2126.11788276699</v>
      </c>
      <c r="L63" s="72">
        <f t="shared" si="20"/>
        <v>2006.11788276699</v>
      </c>
      <c r="M63" s="72">
        <f t="shared" si="20"/>
        <v>1751.11788276699</v>
      </c>
      <c r="N63" s="72">
        <f t="shared" si="20"/>
        <v>1031.11788276699</v>
      </c>
      <c r="O63" s="72">
        <f t="shared" si="20"/>
        <v>501.117882766989</v>
      </c>
      <c r="P63" s="72">
        <f t="shared" si="20"/>
        <v>1288.61788276699</v>
      </c>
      <c r="Q63" s="72">
        <f t="shared" si="20"/>
        <v>1331.11788276699</v>
      </c>
      <c r="R63" s="72">
        <f t="shared" si="20"/>
        <v>1031.11788276699</v>
      </c>
      <c r="S63" s="89"/>
      <c r="T63" s="90"/>
      <c r="U63" s="90"/>
      <c r="V63" s="88"/>
    </row>
    <row r="64" s="42" customFormat="1" ht="23.25" customHeight="1" spans="1:22">
      <c r="A64" s="65">
        <v>59</v>
      </c>
      <c r="B64" s="66" t="s">
        <v>106</v>
      </c>
      <c r="C64" s="72">
        <f>C62-C63</f>
        <v>46833.7891281554</v>
      </c>
      <c r="D64" s="72">
        <f t="shared" ref="D64:R64" si="21">D62-D63</f>
        <v>5504.40151165048</v>
      </c>
      <c r="E64" s="72">
        <f t="shared" si="21"/>
        <v>52338.1906398058</v>
      </c>
      <c r="F64" s="72">
        <f t="shared" si="2"/>
        <v>46852.9937796116</v>
      </c>
      <c r="G64" s="72">
        <f t="shared" si="21"/>
        <v>3157.10364830097</v>
      </c>
      <c r="H64" s="72">
        <f t="shared" si="21"/>
        <v>3332.60364830097</v>
      </c>
      <c r="I64" s="72">
        <f t="shared" si="21"/>
        <v>4370.60364830097</v>
      </c>
      <c r="J64" s="72">
        <f t="shared" si="21"/>
        <v>2793.35364830097</v>
      </c>
      <c r="K64" s="72">
        <f t="shared" si="21"/>
        <v>6378.35364830097</v>
      </c>
      <c r="L64" s="72">
        <f t="shared" si="21"/>
        <v>6018.35364830097</v>
      </c>
      <c r="M64" s="72">
        <f t="shared" si="21"/>
        <v>5253.35364830097</v>
      </c>
      <c r="N64" s="72">
        <f t="shared" si="21"/>
        <v>3093.35364830097</v>
      </c>
      <c r="O64" s="72">
        <f t="shared" si="21"/>
        <v>1503.35364830097</v>
      </c>
      <c r="P64" s="72">
        <f t="shared" si="21"/>
        <v>3865.85364830097</v>
      </c>
      <c r="Q64" s="72">
        <f t="shared" si="21"/>
        <v>3993.35364830097</v>
      </c>
      <c r="R64" s="72">
        <f t="shared" si="21"/>
        <v>3093.35364830097</v>
      </c>
      <c r="S64" s="89"/>
      <c r="T64" s="90"/>
      <c r="U64" s="90"/>
      <c r="V64" s="88"/>
    </row>
  </sheetData>
  <mergeCells count="6">
    <mergeCell ref="A1:P1"/>
    <mergeCell ref="A2:R2"/>
    <mergeCell ref="A3:A5"/>
    <mergeCell ref="B3:B5"/>
    <mergeCell ref="C3:E4"/>
    <mergeCell ref="F3:V4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P71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C81" sqref="C81"/>
    </sheetView>
  </sheetViews>
  <sheetFormatPr defaultColWidth="9" defaultRowHeight="14.25"/>
  <cols>
    <col min="1" max="1" width="6.125" style="1" customWidth="1"/>
    <col min="2" max="2" width="44.5" style="2" customWidth="1"/>
    <col min="3" max="3" width="11.125" style="2" customWidth="1"/>
    <col min="4" max="11" width="10.5" style="3" customWidth="1"/>
    <col min="12" max="14" width="10.5" style="2" customWidth="1"/>
    <col min="15" max="15" width="10.5" style="3" customWidth="1"/>
    <col min="16" max="16" width="10.375"/>
  </cols>
  <sheetData>
    <row r="1" ht="13.5" spans="1:15">
      <c r="A1" s="4" t="s">
        <v>124</v>
      </c>
      <c r="B1"/>
      <c r="C1"/>
      <c r="D1" s="5"/>
      <c r="E1" s="5"/>
      <c r="F1" s="5"/>
      <c r="G1" s="5"/>
      <c r="H1" s="5"/>
      <c r="I1" s="5"/>
      <c r="J1" s="5"/>
      <c r="K1" s="5"/>
      <c r="L1"/>
      <c r="M1"/>
      <c r="N1"/>
      <c r="O1" s="5"/>
    </row>
    <row r="2" ht="13.5" spans="1:15">
      <c r="A2" s="4" t="s">
        <v>125</v>
      </c>
      <c r="B2"/>
      <c r="C2"/>
      <c r="D2" s="5"/>
      <c r="E2" s="5"/>
      <c r="F2" s="5"/>
      <c r="G2" s="5"/>
      <c r="H2" s="5"/>
      <c r="I2" s="5"/>
      <c r="J2" s="5"/>
      <c r="K2" s="5"/>
      <c r="L2"/>
      <c r="M2"/>
      <c r="N2"/>
      <c r="O2" s="5"/>
    </row>
    <row r="3" ht="13.5" spans="1:15">
      <c r="A3" s="6" t="s">
        <v>2</v>
      </c>
      <c r="B3" s="7" t="s">
        <v>3</v>
      </c>
      <c r="C3" s="8" t="s">
        <v>126</v>
      </c>
      <c r="D3" s="8" t="s">
        <v>127</v>
      </c>
      <c r="E3" s="8" t="s">
        <v>128</v>
      </c>
      <c r="F3" s="8" t="s">
        <v>129</v>
      </c>
      <c r="G3" s="8" t="s">
        <v>130</v>
      </c>
      <c r="H3" s="8" t="s">
        <v>131</v>
      </c>
      <c r="I3" s="8" t="s">
        <v>132</v>
      </c>
      <c r="J3" s="8" t="s">
        <v>133</v>
      </c>
      <c r="K3" s="8" t="s">
        <v>134</v>
      </c>
      <c r="L3" s="8" t="s">
        <v>135</v>
      </c>
      <c r="M3" s="8" t="s">
        <v>136</v>
      </c>
      <c r="N3" s="8" t="s">
        <v>137</v>
      </c>
      <c r="O3" s="8" t="s">
        <v>138</v>
      </c>
    </row>
    <row r="4" ht="13.5" spans="1:1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customHeight="1" spans="1:15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ht="13.5" spans="1:15">
      <c r="A6" s="15">
        <v>1</v>
      </c>
      <c r="B6" s="16" t="s">
        <v>14</v>
      </c>
      <c r="C6" s="16">
        <f t="shared" ref="C6:O6" si="0">C7+C8+C9+C10+C11+C12+C13</f>
        <v>945000.04</v>
      </c>
      <c r="D6" s="17">
        <f t="shared" si="0"/>
        <v>74166.67</v>
      </c>
      <c r="E6" s="17">
        <f t="shared" si="0"/>
        <v>79166.67</v>
      </c>
      <c r="F6" s="17">
        <f t="shared" si="0"/>
        <v>79166.67</v>
      </c>
      <c r="G6" s="17">
        <f t="shared" si="0"/>
        <v>79166.67</v>
      </c>
      <c r="H6" s="17">
        <f t="shared" si="0"/>
        <v>79166.67</v>
      </c>
      <c r="I6" s="17">
        <f t="shared" si="0"/>
        <v>79166.67</v>
      </c>
      <c r="J6" s="17">
        <f t="shared" si="0"/>
        <v>79166.67</v>
      </c>
      <c r="K6" s="17">
        <f t="shared" si="0"/>
        <v>79166.67</v>
      </c>
      <c r="L6" s="16">
        <f t="shared" si="0"/>
        <v>79166.67</v>
      </c>
      <c r="M6" s="16">
        <f t="shared" si="0"/>
        <v>79166.67</v>
      </c>
      <c r="N6" s="16">
        <f t="shared" si="0"/>
        <v>79166.67</v>
      </c>
      <c r="O6" s="17">
        <f t="shared" si="0"/>
        <v>79166.67</v>
      </c>
    </row>
    <row r="7" ht="13.5" spans="1:15">
      <c r="A7" s="18">
        <v>2</v>
      </c>
      <c r="B7" s="19" t="s">
        <v>16</v>
      </c>
      <c r="C7" s="16">
        <f>SUM(D7:O7)</f>
        <v>890000.04</v>
      </c>
      <c r="D7" s="18">
        <f t="shared" ref="D7:O7" si="1">74166.67</f>
        <v>74166.67</v>
      </c>
      <c r="E7" s="18">
        <f t="shared" si="1"/>
        <v>74166.67</v>
      </c>
      <c r="F7" s="18">
        <f t="shared" si="1"/>
        <v>74166.67</v>
      </c>
      <c r="G7" s="18">
        <f t="shared" si="1"/>
        <v>74166.67</v>
      </c>
      <c r="H7" s="18">
        <f t="shared" si="1"/>
        <v>74166.67</v>
      </c>
      <c r="I7" s="18">
        <f t="shared" si="1"/>
        <v>74166.67</v>
      </c>
      <c r="J7" s="18">
        <f t="shared" si="1"/>
        <v>74166.67</v>
      </c>
      <c r="K7" s="18">
        <f t="shared" si="1"/>
        <v>74166.67</v>
      </c>
      <c r="L7" s="18">
        <f t="shared" si="1"/>
        <v>74166.67</v>
      </c>
      <c r="M7" s="18">
        <f t="shared" si="1"/>
        <v>74166.67</v>
      </c>
      <c r="N7" s="18">
        <f t="shared" si="1"/>
        <v>74166.67</v>
      </c>
      <c r="O7" s="18">
        <f t="shared" si="1"/>
        <v>74166.67</v>
      </c>
    </row>
    <row r="8" ht="13.5" spans="1:15">
      <c r="A8" s="18">
        <v>3</v>
      </c>
      <c r="B8" s="19" t="s">
        <v>20</v>
      </c>
      <c r="C8" s="16">
        <f t="shared" ref="C8:C66" si="2">SUM(D8:O8)</f>
        <v>0</v>
      </c>
      <c r="D8" s="20"/>
      <c r="E8" s="20"/>
      <c r="F8" s="20"/>
      <c r="G8" s="20"/>
      <c r="H8" s="20"/>
      <c r="I8" s="20"/>
      <c r="J8" s="20"/>
      <c r="K8" s="20"/>
      <c r="L8" s="20"/>
      <c r="M8" s="19"/>
      <c r="N8" s="19"/>
      <c r="O8" s="20"/>
    </row>
    <row r="9" ht="13.5" spans="1:15">
      <c r="A9" s="18">
        <v>4</v>
      </c>
      <c r="B9" s="19" t="s">
        <v>22</v>
      </c>
      <c r="C9" s="16">
        <f t="shared" si="2"/>
        <v>0</v>
      </c>
      <c r="D9" s="20"/>
      <c r="E9" s="20"/>
      <c r="F9" s="20"/>
      <c r="G9" s="20"/>
      <c r="H9" s="20"/>
      <c r="I9" s="20"/>
      <c r="J9" s="20"/>
      <c r="K9" s="20"/>
      <c r="L9" s="20"/>
      <c r="M9" s="19"/>
      <c r="N9" s="19"/>
      <c r="O9" s="20"/>
    </row>
    <row r="10" ht="13.5" spans="1:15">
      <c r="A10" s="18">
        <v>5</v>
      </c>
      <c r="B10" s="19" t="s">
        <v>24</v>
      </c>
      <c r="C10" s="16">
        <f t="shared" si="2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19"/>
      <c r="N10" s="19"/>
      <c r="O10" s="20"/>
    </row>
    <row r="11" ht="13.5" spans="1:15">
      <c r="A11" s="18">
        <v>6</v>
      </c>
      <c r="B11" s="19" t="s">
        <v>26</v>
      </c>
      <c r="C11" s="16">
        <f t="shared" si="2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19"/>
      <c r="N11" s="19"/>
      <c r="O11" s="20"/>
    </row>
    <row r="12" ht="13.5" spans="1:15">
      <c r="A12" s="18">
        <v>7</v>
      </c>
      <c r="B12" s="19" t="s">
        <v>28</v>
      </c>
      <c r="C12" s="16">
        <f t="shared" si="2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19"/>
      <c r="N12" s="19"/>
      <c r="O12" s="20"/>
    </row>
    <row r="13" ht="13.5" spans="1:15">
      <c r="A13" s="18">
        <v>8</v>
      </c>
      <c r="B13" s="19" t="s">
        <v>139</v>
      </c>
      <c r="C13" s="16">
        <f t="shared" si="2"/>
        <v>55000</v>
      </c>
      <c r="D13" s="20"/>
      <c r="E13" s="20">
        <v>5000</v>
      </c>
      <c r="F13" s="20">
        <v>5000</v>
      </c>
      <c r="G13" s="20">
        <v>5000</v>
      </c>
      <c r="H13" s="20">
        <v>5000</v>
      </c>
      <c r="I13" s="20">
        <v>5000</v>
      </c>
      <c r="J13" s="20">
        <v>5000</v>
      </c>
      <c r="K13" s="20">
        <v>5000</v>
      </c>
      <c r="L13" s="20">
        <v>5000</v>
      </c>
      <c r="M13" s="20">
        <v>5000</v>
      </c>
      <c r="N13" s="20">
        <v>5000</v>
      </c>
      <c r="O13" s="20">
        <v>5000</v>
      </c>
    </row>
    <row r="14" ht="13.5" spans="1:15">
      <c r="A14" s="15">
        <v>9</v>
      </c>
      <c r="B14" s="16" t="s">
        <v>32</v>
      </c>
      <c r="C14" s="16">
        <f t="shared" si="2"/>
        <v>671073.75</v>
      </c>
      <c r="D14" s="17">
        <f t="shared" ref="D14:M14" si="3">D15+D16+D17+D18+D19+D20+D21+D22</f>
        <v>52468</v>
      </c>
      <c r="E14" s="17">
        <f t="shared" si="3"/>
        <v>45315.69</v>
      </c>
      <c r="F14" s="17">
        <f t="shared" si="3"/>
        <v>53659</v>
      </c>
      <c r="G14" s="17">
        <f t="shared" si="3"/>
        <v>57349.8</v>
      </c>
      <c r="H14" s="17">
        <f t="shared" si="3"/>
        <v>55375</v>
      </c>
      <c r="I14" s="17">
        <f t="shared" si="3"/>
        <v>54830.34</v>
      </c>
      <c r="J14" s="17">
        <f t="shared" si="3"/>
        <v>52306</v>
      </c>
      <c r="K14" s="17">
        <f t="shared" si="3"/>
        <v>62531.61</v>
      </c>
      <c r="L14" s="16">
        <f t="shared" si="3"/>
        <v>62660.8</v>
      </c>
      <c r="M14" s="16">
        <f t="shared" si="3"/>
        <v>57218</v>
      </c>
      <c r="N14" s="16">
        <f t="shared" ref="N14:O14" si="4">N15+N16+N17+N18+N19+N20+N21+N22</f>
        <v>60362</v>
      </c>
      <c r="O14" s="17">
        <f t="shared" si="4"/>
        <v>56997.51</v>
      </c>
    </row>
    <row r="15" ht="13.5" spans="1:15">
      <c r="A15" s="18">
        <v>10</v>
      </c>
      <c r="B15" s="19" t="s">
        <v>34</v>
      </c>
      <c r="C15" s="16">
        <f t="shared" si="2"/>
        <v>650968.8</v>
      </c>
      <c r="D15" s="20">
        <f>43573+8*20</f>
        <v>43733</v>
      </c>
      <c r="E15" s="20">
        <f>45175.69+7*20</f>
        <v>45315.69</v>
      </c>
      <c r="F15" s="20">
        <f>53439+8*20</f>
        <v>53599</v>
      </c>
      <c r="G15" s="20">
        <f>55495.8+11*20</f>
        <v>55715.8</v>
      </c>
      <c r="H15" s="20">
        <f>55055+10*20</f>
        <v>55255</v>
      </c>
      <c r="I15" s="20">
        <f>53413+9*20</f>
        <v>53593</v>
      </c>
      <c r="J15" s="20">
        <f>51621+10*20</f>
        <v>51821</v>
      </c>
      <c r="K15" s="20">
        <f>57928+14*20+3050</f>
        <v>61258</v>
      </c>
      <c r="L15" s="20">
        <f>58396.8+15*20</f>
        <v>58696.8</v>
      </c>
      <c r="M15" s="20">
        <f>56858+15*20</f>
        <v>57158</v>
      </c>
      <c r="N15" s="20">
        <f>57818+15*20</f>
        <v>58118</v>
      </c>
      <c r="O15" s="20">
        <f>56405.51+15*20</f>
        <v>56705.51</v>
      </c>
    </row>
    <row r="16" ht="13.5" spans="1:15">
      <c r="A16" s="18">
        <v>11</v>
      </c>
      <c r="B16" s="19" t="s">
        <v>117</v>
      </c>
      <c r="C16" s="16">
        <f t="shared" si="2"/>
        <v>7715.34</v>
      </c>
      <c r="D16" s="20">
        <v>180</v>
      </c>
      <c r="E16" s="20"/>
      <c r="F16" s="20">
        <v>60</v>
      </c>
      <c r="G16" s="20">
        <v>1634</v>
      </c>
      <c r="H16" s="20">
        <v>120</v>
      </c>
      <c r="I16" s="20">
        <f>120+1117.34</f>
        <v>1237.34</v>
      </c>
      <c r="J16" s="20">
        <v>60</v>
      </c>
      <c r="K16" s="20">
        <v>60</v>
      </c>
      <c r="L16" s="20">
        <f>1700+240</f>
        <v>1940</v>
      </c>
      <c r="M16" s="20">
        <v>60</v>
      </c>
      <c r="N16" s="20">
        <f>60+930+1254</f>
        <v>2244</v>
      </c>
      <c r="O16" s="20">
        <f>120</f>
        <v>120</v>
      </c>
    </row>
    <row r="17" ht="13.5" spans="1:15">
      <c r="A17" s="18">
        <v>12</v>
      </c>
      <c r="B17" s="19" t="s">
        <v>39</v>
      </c>
      <c r="C17" s="16">
        <f t="shared" si="2"/>
        <v>8555</v>
      </c>
      <c r="D17" s="20">
        <v>8555</v>
      </c>
      <c r="E17" s="20"/>
      <c r="F17" s="20"/>
      <c r="G17" s="20"/>
      <c r="H17" s="20"/>
      <c r="I17" s="20"/>
      <c r="J17" s="20"/>
      <c r="K17" s="20"/>
      <c r="L17" s="19"/>
      <c r="M17" s="19"/>
      <c r="N17" s="19"/>
      <c r="O17" s="20"/>
    </row>
    <row r="18" ht="13.5" spans="1:15">
      <c r="A18" s="18">
        <v>13</v>
      </c>
      <c r="B18" s="19" t="s">
        <v>42</v>
      </c>
      <c r="C18" s="16">
        <f t="shared" si="2"/>
        <v>0</v>
      </c>
      <c r="D18" s="20"/>
      <c r="E18" s="20"/>
      <c r="F18" s="20"/>
      <c r="G18" s="20"/>
      <c r="H18" s="20"/>
      <c r="I18" s="20"/>
      <c r="J18" s="20"/>
      <c r="K18" s="20"/>
      <c r="L18" s="19"/>
      <c r="M18" s="19"/>
      <c r="N18" s="19"/>
      <c r="O18" s="20"/>
    </row>
    <row r="19" ht="12.75" customHeight="1" spans="1:15">
      <c r="A19" s="18">
        <v>14</v>
      </c>
      <c r="B19" s="19" t="s">
        <v>44</v>
      </c>
      <c r="C19" s="16">
        <f t="shared" si="2"/>
        <v>2134.61</v>
      </c>
      <c r="D19" s="20"/>
      <c r="E19" s="20"/>
      <c r="F19" s="20"/>
      <c r="G19" s="20"/>
      <c r="H19" s="20"/>
      <c r="I19" s="20"/>
      <c r="J19" s="20">
        <f>286+139</f>
        <v>425</v>
      </c>
      <c r="K19" s="20">
        <f>813.61+400</f>
        <v>1213.61</v>
      </c>
      <c r="L19" s="20">
        <v>324</v>
      </c>
      <c r="M19" s="19"/>
      <c r="N19" s="19"/>
      <c r="O19" s="20">
        <v>172</v>
      </c>
    </row>
    <row r="20" ht="13.5" spans="1:15">
      <c r="A20" s="18">
        <v>15</v>
      </c>
      <c r="B20" s="19" t="s">
        <v>46</v>
      </c>
      <c r="C20" s="16">
        <f t="shared" si="2"/>
        <v>0</v>
      </c>
      <c r="D20" s="20"/>
      <c r="E20" s="20"/>
      <c r="F20" s="20"/>
      <c r="G20" s="20"/>
      <c r="H20" s="20"/>
      <c r="I20" s="20"/>
      <c r="J20" s="20"/>
      <c r="K20" s="20"/>
      <c r="L20" s="19"/>
      <c r="M20" s="19"/>
      <c r="N20" s="19"/>
      <c r="O20" s="20"/>
    </row>
    <row r="21" ht="13.5" spans="1:15">
      <c r="A21" s="18">
        <v>16</v>
      </c>
      <c r="B21" s="19" t="s">
        <v>118</v>
      </c>
      <c r="C21" s="16">
        <f t="shared" si="2"/>
        <v>0</v>
      </c>
      <c r="D21" s="20"/>
      <c r="E21" s="20"/>
      <c r="F21" s="20"/>
      <c r="G21" s="20"/>
      <c r="H21" s="20"/>
      <c r="I21" s="20"/>
      <c r="J21" s="20"/>
      <c r="K21" s="20"/>
      <c r="L21" s="19"/>
      <c r="M21" s="19"/>
      <c r="N21" s="19"/>
      <c r="O21" s="20"/>
    </row>
    <row r="22" ht="13.5" spans="1:15">
      <c r="A22" s="18">
        <v>17</v>
      </c>
      <c r="B22" s="19" t="s">
        <v>50</v>
      </c>
      <c r="C22" s="16">
        <f t="shared" si="2"/>
        <v>1700</v>
      </c>
      <c r="D22" s="20"/>
      <c r="E22" s="20"/>
      <c r="F22" s="20"/>
      <c r="H22" s="20"/>
      <c r="I22" s="20"/>
      <c r="J22" s="20"/>
      <c r="K22" s="20"/>
      <c r="L22" s="20">
        <v>1700</v>
      </c>
      <c r="M22" s="19"/>
      <c r="N22" s="19"/>
      <c r="O22" s="20"/>
    </row>
    <row r="23" ht="13.5" spans="1:15">
      <c r="A23" s="15">
        <v>18</v>
      </c>
      <c r="B23" s="16" t="s">
        <v>52</v>
      </c>
      <c r="C23" s="16">
        <f t="shared" si="2"/>
        <v>0</v>
      </c>
      <c r="D23" s="17">
        <f t="shared" ref="D23:O23" si="5">D24+D25+D26+D27+D28</f>
        <v>0</v>
      </c>
      <c r="E23" s="17">
        <f t="shared" si="5"/>
        <v>0</v>
      </c>
      <c r="F23" s="17">
        <f t="shared" si="5"/>
        <v>0</v>
      </c>
      <c r="G23" s="17">
        <f t="shared" si="5"/>
        <v>0</v>
      </c>
      <c r="H23" s="17">
        <f t="shared" si="5"/>
        <v>0</v>
      </c>
      <c r="I23" s="17">
        <f t="shared" si="5"/>
        <v>0</v>
      </c>
      <c r="J23" s="17">
        <f t="shared" si="5"/>
        <v>0</v>
      </c>
      <c r="K23" s="17">
        <f t="shared" si="5"/>
        <v>0</v>
      </c>
      <c r="L23" s="16">
        <f t="shared" si="5"/>
        <v>0</v>
      </c>
      <c r="M23" s="16">
        <f t="shared" si="5"/>
        <v>0</v>
      </c>
      <c r="N23" s="16">
        <f t="shared" si="5"/>
        <v>0</v>
      </c>
      <c r="O23" s="17">
        <f t="shared" si="5"/>
        <v>0</v>
      </c>
    </row>
    <row r="24" ht="13.5" spans="1:15">
      <c r="A24" s="18">
        <v>19</v>
      </c>
      <c r="B24" s="19" t="s">
        <v>54</v>
      </c>
      <c r="C24" s="16">
        <f t="shared" si="2"/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</row>
    <row r="25" ht="13.5" spans="1:15">
      <c r="A25" s="18">
        <v>20</v>
      </c>
      <c r="B25" s="19" t="s">
        <v>56</v>
      </c>
      <c r="C25" s="16">
        <f t="shared" si="2"/>
        <v>0</v>
      </c>
      <c r="D25" s="21">
        <v>0</v>
      </c>
      <c r="E25" s="21">
        <f>E24*0.07</f>
        <v>0</v>
      </c>
      <c r="F25" s="21">
        <f>F24*0.07</f>
        <v>0</v>
      </c>
      <c r="G25" s="21">
        <f>G24*0.07</f>
        <v>0</v>
      </c>
      <c r="H25" s="21">
        <f t="shared" ref="H25:O25" si="6">H24*0.07</f>
        <v>0</v>
      </c>
      <c r="I25" s="21">
        <f t="shared" si="6"/>
        <v>0</v>
      </c>
      <c r="J25" s="21">
        <f t="shared" si="6"/>
        <v>0</v>
      </c>
      <c r="K25" s="21">
        <f t="shared" si="6"/>
        <v>0</v>
      </c>
      <c r="L25" s="21">
        <f t="shared" si="6"/>
        <v>0</v>
      </c>
      <c r="M25" s="21">
        <f t="shared" si="6"/>
        <v>0</v>
      </c>
      <c r="N25" s="21">
        <f t="shared" si="6"/>
        <v>0</v>
      </c>
      <c r="O25" s="21">
        <f t="shared" si="6"/>
        <v>0</v>
      </c>
    </row>
    <row r="26" ht="13.5" spans="1:15">
      <c r="A26" s="18">
        <v>21</v>
      </c>
      <c r="B26" s="19" t="s">
        <v>58</v>
      </c>
      <c r="C26" s="16">
        <f t="shared" si="2"/>
        <v>0</v>
      </c>
      <c r="D26" s="21">
        <f>D24*0.03</f>
        <v>0</v>
      </c>
      <c r="E26" s="21">
        <f>E24*0.03</f>
        <v>0</v>
      </c>
      <c r="F26" s="21">
        <f>F24*0.03</f>
        <v>0</v>
      </c>
      <c r="G26" s="21">
        <f>G24*0.03</f>
        <v>0</v>
      </c>
      <c r="H26" s="21">
        <f t="shared" ref="H26:O26" si="7">H24*0.03</f>
        <v>0</v>
      </c>
      <c r="I26" s="21">
        <f t="shared" si="7"/>
        <v>0</v>
      </c>
      <c r="J26" s="21">
        <f t="shared" si="7"/>
        <v>0</v>
      </c>
      <c r="K26" s="21">
        <f t="shared" si="7"/>
        <v>0</v>
      </c>
      <c r="L26" s="21">
        <f t="shared" si="7"/>
        <v>0</v>
      </c>
      <c r="M26" s="21">
        <f t="shared" si="7"/>
        <v>0</v>
      </c>
      <c r="N26" s="21">
        <f t="shared" si="7"/>
        <v>0</v>
      </c>
      <c r="O26" s="21">
        <f t="shared" si="7"/>
        <v>0</v>
      </c>
    </row>
    <row r="27" ht="13.5" spans="1:15">
      <c r="A27" s="18">
        <v>22</v>
      </c>
      <c r="B27" s="19" t="s">
        <v>59</v>
      </c>
      <c r="C27" s="16">
        <f t="shared" si="2"/>
        <v>0</v>
      </c>
      <c r="D27" s="21">
        <f>D24*0.02</f>
        <v>0</v>
      </c>
      <c r="E27" s="21">
        <f>E24*0.02</f>
        <v>0</v>
      </c>
      <c r="F27" s="21">
        <f>F24*0.02</f>
        <v>0</v>
      </c>
      <c r="G27" s="21">
        <f>G24*0.02</f>
        <v>0</v>
      </c>
      <c r="H27" s="21">
        <f t="shared" ref="H27:O27" si="8">H24*0.02</f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</row>
    <row r="28" ht="13.5" spans="1:15">
      <c r="A28" s="18">
        <v>23</v>
      </c>
      <c r="B28" s="19" t="s">
        <v>60</v>
      </c>
      <c r="C28" s="16">
        <f t="shared" si="2"/>
        <v>0</v>
      </c>
      <c r="D28" s="21"/>
      <c r="E28" s="21"/>
      <c r="F28" s="21"/>
      <c r="G28" s="21"/>
      <c r="H28" s="21"/>
      <c r="I28" s="21"/>
      <c r="J28" s="21"/>
      <c r="K28" s="21"/>
      <c r="L28" s="31"/>
      <c r="M28" s="31"/>
      <c r="N28" s="31"/>
      <c r="O28" s="21"/>
    </row>
    <row r="29" ht="13.5" spans="1:15">
      <c r="A29" s="22">
        <v>24</v>
      </c>
      <c r="B29" s="23" t="s">
        <v>61</v>
      </c>
      <c r="C29" s="16">
        <f t="shared" si="2"/>
        <v>273926.29</v>
      </c>
      <c r="D29" s="24">
        <f t="shared" ref="D29:O29" si="9">D6-D14-D23</f>
        <v>21698.67</v>
      </c>
      <c r="E29" s="24">
        <f t="shared" si="9"/>
        <v>33850.98</v>
      </c>
      <c r="F29" s="24">
        <f t="shared" si="9"/>
        <v>25507.67</v>
      </c>
      <c r="G29" s="24">
        <f t="shared" si="9"/>
        <v>21816.87</v>
      </c>
      <c r="H29" s="24">
        <f t="shared" si="9"/>
        <v>23791.67</v>
      </c>
      <c r="I29" s="24">
        <f t="shared" si="9"/>
        <v>24336.33</v>
      </c>
      <c r="J29" s="24">
        <f t="shared" ref="J29:M29" si="10">J6-J14-J23</f>
        <v>26860.67</v>
      </c>
      <c r="K29" s="24">
        <f t="shared" si="10"/>
        <v>16635.06</v>
      </c>
      <c r="L29" s="23">
        <f t="shared" si="10"/>
        <v>16505.87</v>
      </c>
      <c r="M29" s="23">
        <f t="shared" si="10"/>
        <v>21948.67</v>
      </c>
      <c r="N29" s="23">
        <f t="shared" si="9"/>
        <v>18804.67</v>
      </c>
      <c r="O29" s="24">
        <f t="shared" si="9"/>
        <v>22169.16</v>
      </c>
    </row>
    <row r="30" ht="13.5" spans="1:15">
      <c r="A30" s="22">
        <v>25</v>
      </c>
      <c r="B30" s="23" t="s">
        <v>62</v>
      </c>
      <c r="C30" s="16">
        <f t="shared" si="2"/>
        <v>170658.88</v>
      </c>
      <c r="D30" s="24">
        <f t="shared" ref="D30:G30" si="11">D31+D32+D33+D35+D36+D39+D42+D48+D50+D51+D52+D53+D54</f>
        <v>10019</v>
      </c>
      <c r="E30" s="24">
        <f t="shared" si="11"/>
        <v>19457.5</v>
      </c>
      <c r="F30" s="24">
        <f t="shared" si="11"/>
        <v>11808</v>
      </c>
      <c r="G30" s="25">
        <f t="shared" si="11"/>
        <v>27179</v>
      </c>
      <c r="H30" s="24">
        <f t="shared" ref="H30:O30" si="12">H31+H32+H33+H35+H36+H39+H42+H48+H50+H51+H52+H53+H54</f>
        <v>11489.2</v>
      </c>
      <c r="I30" s="24">
        <f t="shared" si="12"/>
        <v>11536.8</v>
      </c>
      <c r="J30" s="24">
        <f t="shared" si="12"/>
        <v>10817</v>
      </c>
      <c r="K30" s="24">
        <f t="shared" si="12"/>
        <v>42797.08</v>
      </c>
      <c r="L30" s="23">
        <f t="shared" si="12"/>
        <v>6348.12</v>
      </c>
      <c r="M30" s="23">
        <f t="shared" si="12"/>
        <v>5563.4</v>
      </c>
      <c r="N30" s="23">
        <f t="shared" si="12"/>
        <v>6562.52</v>
      </c>
      <c r="O30" s="24">
        <f t="shared" si="12"/>
        <v>7081.26</v>
      </c>
    </row>
    <row r="31" ht="13.5" spans="1:15">
      <c r="A31" s="18">
        <v>26</v>
      </c>
      <c r="B31" s="19" t="s">
        <v>64</v>
      </c>
      <c r="C31" s="16">
        <f t="shared" si="2"/>
        <v>0</v>
      </c>
      <c r="D31" s="20"/>
      <c r="E31" s="26"/>
      <c r="F31" s="20"/>
      <c r="G31" s="26"/>
      <c r="H31" s="26"/>
      <c r="I31" s="26"/>
      <c r="J31" s="26"/>
      <c r="K31" s="26"/>
      <c r="L31" s="32"/>
      <c r="M31" s="32"/>
      <c r="N31" s="19"/>
      <c r="O31" s="20"/>
    </row>
    <row r="32" ht="13.5" spans="1:15">
      <c r="A32" s="18">
        <v>27</v>
      </c>
      <c r="B32" s="19" t="s">
        <v>66</v>
      </c>
      <c r="C32" s="16">
        <f t="shared" si="2"/>
        <v>118986.28</v>
      </c>
      <c r="D32" s="20">
        <v>10019</v>
      </c>
      <c r="E32" s="20">
        <v>19138.8</v>
      </c>
      <c r="F32" s="20">
        <f>11448+360</f>
        <v>11808</v>
      </c>
      <c r="G32" s="20">
        <v>11448</v>
      </c>
      <c r="H32" s="27">
        <v>11236.8</v>
      </c>
      <c r="I32" s="27">
        <v>11236.8</v>
      </c>
      <c r="J32" s="20">
        <v>10017</v>
      </c>
      <c r="K32" s="20">
        <f>9015.08+3360</f>
        <v>12375.08</v>
      </c>
      <c r="L32" s="20">
        <f>530+5242.12</f>
        <v>5772.12</v>
      </c>
      <c r="M32" s="20">
        <v>4253.4</v>
      </c>
      <c r="N32" s="20">
        <v>5762.52</v>
      </c>
      <c r="O32" s="20">
        <f>540+5378.76</f>
        <v>5918.76</v>
      </c>
    </row>
    <row r="33" ht="13.5" spans="1:15">
      <c r="A33" s="18">
        <v>28</v>
      </c>
      <c r="B33" s="19" t="s">
        <v>68</v>
      </c>
      <c r="C33" s="16">
        <f t="shared" si="2"/>
        <v>0</v>
      </c>
      <c r="D33" s="20"/>
      <c r="E33" s="20"/>
      <c r="F33" s="20"/>
      <c r="G33" s="20"/>
      <c r="H33" s="20"/>
      <c r="I33" s="20"/>
      <c r="J33" s="20"/>
      <c r="K33" s="20"/>
      <c r="L33" s="19"/>
      <c r="M33" s="19"/>
      <c r="N33" s="19"/>
      <c r="O33" s="20"/>
    </row>
    <row r="34" ht="13.5" spans="1:15">
      <c r="A34" s="18"/>
      <c r="B34" s="19" t="s">
        <v>140</v>
      </c>
      <c r="C34" s="16">
        <f t="shared" si="2"/>
        <v>0</v>
      </c>
      <c r="D34" s="20"/>
      <c r="E34" s="20"/>
      <c r="F34" s="20"/>
      <c r="G34" s="20"/>
      <c r="H34" s="20"/>
      <c r="I34" s="20"/>
      <c r="J34" s="20"/>
      <c r="K34" s="20"/>
      <c r="L34" s="19"/>
      <c r="M34" s="19"/>
      <c r="N34" s="19"/>
      <c r="O34" s="20"/>
    </row>
    <row r="35" ht="24" spans="1:15">
      <c r="A35" s="18">
        <v>29</v>
      </c>
      <c r="B35" s="19" t="s">
        <v>141</v>
      </c>
      <c r="C35" s="16">
        <f t="shared" si="2"/>
        <v>290</v>
      </c>
      <c r="D35" s="20"/>
      <c r="E35" s="20"/>
      <c r="F35" s="20"/>
      <c r="G35" s="20"/>
      <c r="H35" s="20"/>
      <c r="I35" s="20"/>
      <c r="J35" s="20">
        <v>290</v>
      </c>
      <c r="K35" s="20"/>
      <c r="L35" s="19"/>
      <c r="M35" s="19"/>
      <c r="N35" s="19"/>
      <c r="O35" s="20"/>
    </row>
    <row r="36" ht="13.5" spans="1:15">
      <c r="A36" s="15">
        <v>30</v>
      </c>
      <c r="B36" s="16" t="s">
        <v>72</v>
      </c>
      <c r="C36" s="16">
        <f t="shared" si="2"/>
        <v>0</v>
      </c>
      <c r="D36" s="17">
        <f t="shared" ref="D36:O36" si="13">D37+D38</f>
        <v>0</v>
      </c>
      <c r="E36" s="17">
        <f t="shared" si="13"/>
        <v>0</v>
      </c>
      <c r="F36" s="17">
        <f t="shared" si="13"/>
        <v>0</v>
      </c>
      <c r="G36" s="17">
        <f t="shared" si="13"/>
        <v>0</v>
      </c>
      <c r="H36" s="17">
        <f t="shared" ref="H36" si="14">H37+H38</f>
        <v>0</v>
      </c>
      <c r="I36" s="17">
        <v>0</v>
      </c>
      <c r="J36" s="17">
        <v>0</v>
      </c>
      <c r="K36" s="17">
        <v>0</v>
      </c>
      <c r="L36" s="16">
        <v>0</v>
      </c>
      <c r="M36" s="16">
        <v>0</v>
      </c>
      <c r="N36" s="16">
        <f t="shared" si="13"/>
        <v>0</v>
      </c>
      <c r="O36" s="17">
        <f t="shared" si="13"/>
        <v>0</v>
      </c>
    </row>
    <row r="37" ht="13.5" spans="1:15">
      <c r="A37" s="18">
        <v>31</v>
      </c>
      <c r="B37" s="28" t="s">
        <v>142</v>
      </c>
      <c r="C37" s="16">
        <f t="shared" si="2"/>
        <v>0</v>
      </c>
      <c r="D37" s="29"/>
      <c r="E37" s="29"/>
      <c r="F37" s="29"/>
      <c r="G37" s="29"/>
      <c r="H37" s="29"/>
      <c r="I37" s="29"/>
      <c r="J37" s="29"/>
      <c r="K37" s="29"/>
      <c r="L37" s="33"/>
      <c r="M37" s="28"/>
      <c r="N37" s="28"/>
      <c r="O37" s="29"/>
    </row>
    <row r="38" ht="13.5" spans="1:15">
      <c r="A38" s="18">
        <v>32</v>
      </c>
      <c r="B38" s="28" t="s">
        <v>143</v>
      </c>
      <c r="C38" s="16">
        <f t="shared" si="2"/>
        <v>0</v>
      </c>
      <c r="D38" s="29"/>
      <c r="E38" s="29"/>
      <c r="F38" s="29"/>
      <c r="G38" s="29"/>
      <c r="H38" s="29"/>
      <c r="I38" s="29"/>
      <c r="J38" s="29"/>
      <c r="K38" s="29"/>
      <c r="L38" s="28"/>
      <c r="M38" s="28"/>
      <c r="N38" s="28"/>
      <c r="O38" s="29"/>
    </row>
    <row r="39" ht="13.5" spans="1:15">
      <c r="A39" s="15">
        <v>33</v>
      </c>
      <c r="B39" s="16" t="s">
        <v>76</v>
      </c>
      <c r="C39" s="16">
        <f t="shared" si="2"/>
        <v>0</v>
      </c>
      <c r="D39" s="17">
        <f t="shared" ref="D39:O39" si="15">D40+D41</f>
        <v>0</v>
      </c>
      <c r="E39" s="17">
        <f t="shared" si="15"/>
        <v>0</v>
      </c>
      <c r="F39" s="17">
        <f t="shared" si="15"/>
        <v>0</v>
      </c>
      <c r="G39" s="17">
        <f t="shared" si="15"/>
        <v>0</v>
      </c>
      <c r="H39" s="17">
        <f t="shared" ref="H39" si="16">H40+H41</f>
        <v>0</v>
      </c>
      <c r="I39" s="17">
        <v>0</v>
      </c>
      <c r="J39" s="17">
        <v>0</v>
      </c>
      <c r="K39" s="17">
        <v>0</v>
      </c>
      <c r="L39" s="16">
        <v>0</v>
      </c>
      <c r="M39" s="16">
        <v>0</v>
      </c>
      <c r="N39" s="16">
        <f t="shared" si="15"/>
        <v>0</v>
      </c>
      <c r="O39" s="17">
        <f t="shared" si="15"/>
        <v>0</v>
      </c>
    </row>
    <row r="40" ht="13.5" spans="1:15">
      <c r="A40" s="18">
        <v>34</v>
      </c>
      <c r="B40" s="28" t="s">
        <v>144</v>
      </c>
      <c r="C40" s="16">
        <f t="shared" si="2"/>
        <v>0</v>
      </c>
      <c r="D40" s="29"/>
      <c r="E40" s="29"/>
      <c r="F40" s="29"/>
      <c r="G40" s="29"/>
      <c r="H40" s="29"/>
      <c r="I40" s="29"/>
      <c r="J40" s="29"/>
      <c r="K40" s="29"/>
      <c r="L40" s="28"/>
      <c r="M40" s="28"/>
      <c r="N40" s="28"/>
      <c r="O40" s="29"/>
    </row>
    <row r="41" ht="13.5" spans="1:15">
      <c r="A41" s="18">
        <v>35</v>
      </c>
      <c r="B41" s="28" t="s">
        <v>145</v>
      </c>
      <c r="C41" s="16">
        <f t="shared" si="2"/>
        <v>0</v>
      </c>
      <c r="D41" s="29"/>
      <c r="E41" s="29"/>
      <c r="F41" s="29"/>
      <c r="G41" s="29"/>
      <c r="H41" s="29"/>
      <c r="I41" s="29"/>
      <c r="J41" s="29"/>
      <c r="K41" s="29"/>
      <c r="L41" s="28"/>
      <c r="M41" s="28"/>
      <c r="N41" s="28"/>
      <c r="O41" s="29"/>
    </row>
    <row r="42" ht="24" spans="1:15">
      <c r="A42" s="15">
        <v>36</v>
      </c>
      <c r="B42" s="16" t="s">
        <v>79</v>
      </c>
      <c r="C42" s="16">
        <f t="shared" si="2"/>
        <v>2318.6</v>
      </c>
      <c r="D42" s="17">
        <f t="shared" ref="D42:I42" si="17">D43+D44+D45+D46+D47</f>
        <v>0</v>
      </c>
      <c r="E42" s="17">
        <f t="shared" si="17"/>
        <v>318.7</v>
      </c>
      <c r="F42" s="17">
        <f t="shared" si="17"/>
        <v>0</v>
      </c>
      <c r="G42" s="17">
        <f t="shared" si="17"/>
        <v>0</v>
      </c>
      <c r="H42" s="17">
        <f t="shared" si="17"/>
        <v>252.4</v>
      </c>
      <c r="I42" s="17">
        <f t="shared" si="17"/>
        <v>0</v>
      </c>
      <c r="J42" s="17">
        <f t="shared" ref="I42:O42" si="18">J43+J44+J45+J46+J47</f>
        <v>510</v>
      </c>
      <c r="K42" s="17">
        <f t="shared" si="18"/>
        <v>325</v>
      </c>
      <c r="L42" s="16">
        <f t="shared" si="18"/>
        <v>0</v>
      </c>
      <c r="M42" s="16">
        <f t="shared" si="18"/>
        <v>0</v>
      </c>
      <c r="N42" s="16">
        <f t="shared" si="18"/>
        <v>800</v>
      </c>
      <c r="O42" s="17">
        <f t="shared" si="18"/>
        <v>112.5</v>
      </c>
    </row>
    <row r="43" ht="13.5" spans="1:15">
      <c r="A43" s="30">
        <v>37</v>
      </c>
      <c r="B43" s="28" t="s">
        <v>81</v>
      </c>
      <c r="C43" s="16">
        <f t="shared" si="2"/>
        <v>1518.6</v>
      </c>
      <c r="D43" s="29"/>
      <c r="E43" s="29">
        <v>318.7</v>
      </c>
      <c r="F43" s="29"/>
      <c r="G43" s="20"/>
      <c r="H43" s="20">
        <v>252.4</v>
      </c>
      <c r="I43" s="20"/>
      <c r="J43" s="29">
        <f>210+180+120</f>
        <v>510</v>
      </c>
      <c r="K43" s="29">
        <f>125+200</f>
        <v>325</v>
      </c>
      <c r="L43" s="28"/>
      <c r="M43" s="28"/>
      <c r="N43" s="28"/>
      <c r="O43" s="20">
        <f>80+32.5</f>
        <v>112.5</v>
      </c>
    </row>
    <row r="44" ht="13.5" spans="1:15">
      <c r="A44" s="30">
        <v>38</v>
      </c>
      <c r="B44" s="28" t="s">
        <v>82</v>
      </c>
      <c r="C44" s="16">
        <f t="shared" si="2"/>
        <v>0</v>
      </c>
      <c r="D44" s="29"/>
      <c r="E44" s="29"/>
      <c r="F44" s="29"/>
      <c r="G44" s="20"/>
      <c r="H44" s="20"/>
      <c r="I44" s="20"/>
      <c r="J44" s="29"/>
      <c r="K44" s="29"/>
      <c r="L44" s="28"/>
      <c r="M44" s="28"/>
      <c r="N44" s="28"/>
      <c r="O44" s="29"/>
    </row>
    <row r="45" ht="13.5" spans="1:15">
      <c r="A45" s="30">
        <v>39</v>
      </c>
      <c r="B45" s="28" t="s">
        <v>83</v>
      </c>
      <c r="C45" s="16">
        <f t="shared" si="2"/>
        <v>800</v>
      </c>
      <c r="D45" s="29"/>
      <c r="E45" s="29"/>
      <c r="F45" s="29"/>
      <c r="G45" s="20"/>
      <c r="H45" s="20"/>
      <c r="I45" s="20"/>
      <c r="J45" s="29"/>
      <c r="K45" s="29"/>
      <c r="L45" s="28"/>
      <c r="M45" s="28"/>
      <c r="N45" s="29">
        <v>800</v>
      </c>
      <c r="O45" s="29"/>
    </row>
    <row r="46" ht="13.5" spans="1:15">
      <c r="A46" s="30">
        <v>40</v>
      </c>
      <c r="B46" s="28" t="s">
        <v>84</v>
      </c>
      <c r="C46" s="16">
        <f t="shared" si="2"/>
        <v>0</v>
      </c>
      <c r="D46" s="29"/>
      <c r="E46" s="29"/>
      <c r="F46" s="29"/>
      <c r="G46" s="20"/>
      <c r="H46" s="20"/>
      <c r="I46" s="20"/>
      <c r="J46" s="29"/>
      <c r="K46" s="29"/>
      <c r="L46" s="28"/>
      <c r="M46" s="28"/>
      <c r="N46" s="28"/>
      <c r="O46" s="29"/>
    </row>
    <row r="47" ht="13.5" spans="1:15">
      <c r="A47" s="30">
        <v>41</v>
      </c>
      <c r="B47" s="28" t="s">
        <v>85</v>
      </c>
      <c r="C47" s="16">
        <f t="shared" si="2"/>
        <v>0</v>
      </c>
      <c r="D47" s="29"/>
      <c r="E47" s="29"/>
      <c r="F47" s="29"/>
      <c r="G47" s="20"/>
      <c r="H47" s="20"/>
      <c r="I47" s="20"/>
      <c r="J47" s="29"/>
      <c r="K47" s="29"/>
      <c r="L47" s="28"/>
      <c r="M47" s="28"/>
      <c r="N47" s="28"/>
      <c r="O47" s="29"/>
    </row>
    <row r="48" ht="13.5" spans="1:15">
      <c r="A48" s="18">
        <v>42</v>
      </c>
      <c r="B48" s="19" t="s">
        <v>86</v>
      </c>
      <c r="C48" s="16">
        <f t="shared" si="2"/>
        <v>0</v>
      </c>
      <c r="D48" s="20"/>
      <c r="E48" s="20"/>
      <c r="F48" s="20"/>
      <c r="G48" s="20"/>
      <c r="H48" s="20"/>
      <c r="I48" s="20"/>
      <c r="J48" s="20"/>
      <c r="K48" s="20"/>
      <c r="L48" s="19"/>
      <c r="M48" s="19"/>
      <c r="N48" s="19"/>
      <c r="O48" s="20"/>
    </row>
    <row r="49" ht="13.5" spans="1:15">
      <c r="A49" s="18"/>
      <c r="B49" s="19" t="s">
        <v>146</v>
      </c>
      <c r="C49" s="16">
        <f t="shared" si="2"/>
        <v>0</v>
      </c>
      <c r="D49" s="20"/>
      <c r="E49" s="20"/>
      <c r="F49" s="20"/>
      <c r="G49" s="20"/>
      <c r="H49" s="20"/>
      <c r="I49" s="20"/>
      <c r="J49" s="20"/>
      <c r="K49" s="20"/>
      <c r="L49" s="19"/>
      <c r="M49" s="19"/>
      <c r="N49" s="19"/>
      <c r="O49" s="20"/>
    </row>
    <row r="50" ht="13.5" spans="1:15">
      <c r="A50" s="18">
        <v>43</v>
      </c>
      <c r="B50" s="19" t="s">
        <v>147</v>
      </c>
      <c r="C50" s="16">
        <f t="shared" si="2"/>
        <v>0</v>
      </c>
      <c r="D50" s="20"/>
      <c r="E50" s="20"/>
      <c r="F50" s="20"/>
      <c r="G50" s="20"/>
      <c r="H50" s="20"/>
      <c r="I50" s="20"/>
      <c r="J50" s="20"/>
      <c r="K50" s="20"/>
      <c r="L50" s="19"/>
      <c r="M50" s="19"/>
      <c r="N50" s="19"/>
      <c r="O50" s="20"/>
    </row>
    <row r="51" ht="13.5" spans="1:15">
      <c r="A51" s="18">
        <v>44</v>
      </c>
      <c r="B51" s="19" t="s">
        <v>148</v>
      </c>
      <c r="C51" s="16">
        <f t="shared" si="2"/>
        <v>1000</v>
      </c>
      <c r="D51" s="20"/>
      <c r="E51" s="20"/>
      <c r="F51" s="20"/>
      <c r="G51" s="20"/>
      <c r="H51" s="20"/>
      <c r="I51" s="20"/>
      <c r="J51" s="20"/>
      <c r="K51" s="20"/>
      <c r="L51" s="19"/>
      <c r="M51" s="20">
        <v>1000</v>
      </c>
      <c r="N51" s="19"/>
      <c r="O51" s="20"/>
    </row>
    <row r="52" ht="13.5" spans="1:15">
      <c r="A52" s="18">
        <v>45</v>
      </c>
      <c r="B52" s="19" t="s">
        <v>149</v>
      </c>
      <c r="C52" s="16">
        <f t="shared" si="2"/>
        <v>1066</v>
      </c>
      <c r="D52" s="20"/>
      <c r="E52" s="20"/>
      <c r="F52" s="20"/>
      <c r="G52" s="20"/>
      <c r="H52" s="20"/>
      <c r="I52" s="20"/>
      <c r="J52" s="20"/>
      <c r="K52" s="20"/>
      <c r="L52" s="20">
        <v>576</v>
      </c>
      <c r="M52" s="20"/>
      <c r="N52" s="19"/>
      <c r="O52" s="20">
        <v>490</v>
      </c>
    </row>
    <row r="53" ht="13.5" spans="1:15">
      <c r="A53" s="18">
        <v>46</v>
      </c>
      <c r="B53" s="19" t="s">
        <v>150</v>
      </c>
      <c r="C53" s="16">
        <f t="shared" si="2"/>
        <v>1170</v>
      </c>
      <c r="D53" s="20"/>
      <c r="E53" s="20"/>
      <c r="F53" s="20"/>
      <c r="G53" s="20"/>
      <c r="H53" s="20"/>
      <c r="I53" s="20">
        <f>5*60</f>
        <v>300</v>
      </c>
      <c r="J53" s="20"/>
      <c r="K53" s="20"/>
      <c r="L53" s="19"/>
      <c r="M53" s="20">
        <f>180+130</f>
        <v>310</v>
      </c>
      <c r="N53" s="19"/>
      <c r="O53" s="20">
        <v>560</v>
      </c>
    </row>
    <row r="54" ht="13.5" spans="1:15">
      <c r="A54" s="18">
        <v>47</v>
      </c>
      <c r="B54" s="19" t="s">
        <v>151</v>
      </c>
      <c r="C54" s="16">
        <f t="shared" si="2"/>
        <v>45828</v>
      </c>
      <c r="D54" s="20"/>
      <c r="E54" s="20"/>
      <c r="F54" s="20"/>
      <c r="G54" s="20">
        <v>15731</v>
      </c>
      <c r="H54" s="20"/>
      <c r="I54" s="20"/>
      <c r="J54" s="20"/>
      <c r="K54" s="20">
        <v>30097</v>
      </c>
      <c r="L54" s="19"/>
      <c r="M54" s="19"/>
      <c r="N54" s="19"/>
      <c r="O54" s="20"/>
    </row>
    <row r="55" ht="13.5" spans="1:15">
      <c r="A55" s="15">
        <v>48</v>
      </c>
      <c r="B55" s="16" t="s">
        <v>94</v>
      </c>
      <c r="C55" s="16">
        <f t="shared" si="2"/>
        <v>0</v>
      </c>
      <c r="D55" s="17">
        <f t="shared" ref="D55:O55" si="19">D56+D57+D58</f>
        <v>0</v>
      </c>
      <c r="E55" s="17">
        <f t="shared" si="19"/>
        <v>0</v>
      </c>
      <c r="F55" s="17">
        <f t="shared" si="19"/>
        <v>0</v>
      </c>
      <c r="G55" s="17">
        <f t="shared" si="19"/>
        <v>0</v>
      </c>
      <c r="H55" s="17">
        <f t="shared" ref="H55:M55" si="20">H56+H57+H58</f>
        <v>0</v>
      </c>
      <c r="I55" s="17">
        <f t="shared" si="20"/>
        <v>0</v>
      </c>
      <c r="J55" s="17">
        <f t="shared" si="20"/>
        <v>0</v>
      </c>
      <c r="K55" s="17">
        <f t="shared" si="20"/>
        <v>0</v>
      </c>
      <c r="L55" s="16">
        <f t="shared" si="20"/>
        <v>0</v>
      </c>
      <c r="M55" s="16">
        <f t="shared" si="20"/>
        <v>0</v>
      </c>
      <c r="N55" s="16">
        <f t="shared" si="19"/>
        <v>0</v>
      </c>
      <c r="O55" s="17">
        <f t="shared" si="19"/>
        <v>0</v>
      </c>
    </row>
    <row r="56" ht="13.5" spans="1:15">
      <c r="A56" s="18">
        <v>49</v>
      </c>
      <c r="B56" s="19" t="s">
        <v>96</v>
      </c>
      <c r="C56" s="16">
        <f t="shared" si="2"/>
        <v>0</v>
      </c>
      <c r="D56" s="20"/>
      <c r="E56" s="20"/>
      <c r="F56" s="20"/>
      <c r="G56" s="20"/>
      <c r="H56" s="20"/>
      <c r="I56" s="20"/>
      <c r="J56" s="20"/>
      <c r="K56" s="20"/>
      <c r="L56" s="19"/>
      <c r="M56" s="19"/>
      <c r="N56" s="19"/>
      <c r="O56" s="20"/>
    </row>
    <row r="57" ht="13.5" spans="1:15">
      <c r="A57" s="18">
        <v>50</v>
      </c>
      <c r="B57" s="19" t="s">
        <v>97</v>
      </c>
      <c r="C57" s="16">
        <f t="shared" si="2"/>
        <v>0</v>
      </c>
      <c r="D57" s="20"/>
      <c r="E57" s="20"/>
      <c r="F57" s="20"/>
      <c r="G57" s="20"/>
      <c r="H57" s="20"/>
      <c r="I57" s="20"/>
      <c r="J57" s="20"/>
      <c r="K57" s="20"/>
      <c r="L57" s="19"/>
      <c r="M57" s="19"/>
      <c r="N57" s="19"/>
      <c r="O57" s="20"/>
    </row>
    <row r="58" ht="13.5" spans="1:15">
      <c r="A58" s="18">
        <v>51</v>
      </c>
      <c r="B58" s="19" t="s">
        <v>98</v>
      </c>
      <c r="C58" s="16">
        <f t="shared" si="2"/>
        <v>0</v>
      </c>
      <c r="D58" s="20"/>
      <c r="E58" s="20"/>
      <c r="F58" s="20"/>
      <c r="G58" s="20"/>
      <c r="H58" s="20"/>
      <c r="I58" s="20"/>
      <c r="J58" s="20"/>
      <c r="K58" s="20"/>
      <c r="L58" s="19"/>
      <c r="M58" s="19"/>
      <c r="N58" s="19"/>
      <c r="O58" s="20"/>
    </row>
    <row r="59" ht="13.5" spans="1:15">
      <c r="A59" s="15">
        <v>52</v>
      </c>
      <c r="B59" s="16" t="s">
        <v>99</v>
      </c>
      <c r="C59" s="16">
        <f t="shared" si="2"/>
        <v>103267.41</v>
      </c>
      <c r="D59" s="17">
        <f>D29-D30-D55</f>
        <v>11679.67</v>
      </c>
      <c r="E59" s="17">
        <f>E29-E30-E55</f>
        <v>14393.48</v>
      </c>
      <c r="F59" s="17">
        <f>F29-F30-F55</f>
        <v>13699.67</v>
      </c>
      <c r="G59" s="17">
        <f>G29-G30-G55</f>
        <v>-5362.13</v>
      </c>
      <c r="H59" s="17">
        <f>H29-H30-H55</f>
        <v>12302.47</v>
      </c>
      <c r="I59" s="17">
        <f t="shared" ref="I59:O59" si="21">I29-I30-I55</f>
        <v>12799.53</v>
      </c>
      <c r="J59" s="17">
        <f t="shared" si="21"/>
        <v>16043.67</v>
      </c>
      <c r="K59" s="17">
        <f t="shared" si="21"/>
        <v>-26162.02</v>
      </c>
      <c r="L59" s="16">
        <f t="shared" si="21"/>
        <v>10157.75</v>
      </c>
      <c r="M59" s="16">
        <f t="shared" si="21"/>
        <v>16385.27</v>
      </c>
      <c r="N59" s="16">
        <f t="shared" si="21"/>
        <v>12242.15</v>
      </c>
      <c r="O59" s="17">
        <f t="shared" si="21"/>
        <v>15087.9</v>
      </c>
    </row>
    <row r="60" ht="13.5" spans="1:15">
      <c r="A60" s="18">
        <v>53</v>
      </c>
      <c r="B60" s="16" t="s">
        <v>100</v>
      </c>
      <c r="C60" s="16">
        <f t="shared" si="2"/>
        <v>0</v>
      </c>
      <c r="D60" s="17"/>
      <c r="E60" s="17"/>
      <c r="F60" s="17"/>
      <c r="G60" s="17"/>
      <c r="H60" s="17"/>
      <c r="I60" s="17"/>
      <c r="J60" s="17"/>
      <c r="K60" s="17"/>
      <c r="L60" s="16"/>
      <c r="M60" s="16"/>
      <c r="N60" s="16"/>
      <c r="O60" s="17"/>
    </row>
    <row r="61" ht="13.5" spans="1:15">
      <c r="A61" s="18">
        <v>54</v>
      </c>
      <c r="B61" s="16" t="s">
        <v>101</v>
      </c>
      <c r="C61" s="16">
        <f t="shared" si="2"/>
        <v>0</v>
      </c>
      <c r="D61" s="17"/>
      <c r="E61" s="17"/>
      <c r="F61" s="17"/>
      <c r="G61" s="17"/>
      <c r="H61" s="17"/>
      <c r="I61" s="17"/>
      <c r="J61" s="17"/>
      <c r="K61" s="17"/>
      <c r="L61" s="16"/>
      <c r="M61" s="16"/>
      <c r="N61" s="16"/>
      <c r="O61" s="17"/>
    </row>
    <row r="62" ht="13.5" spans="1:15">
      <c r="A62" s="18">
        <v>55</v>
      </c>
      <c r="B62" s="16" t="s">
        <v>102</v>
      </c>
      <c r="C62" s="16">
        <f t="shared" si="2"/>
        <v>0</v>
      </c>
      <c r="D62" s="17"/>
      <c r="E62" s="17"/>
      <c r="F62" s="17"/>
      <c r="G62" s="17"/>
      <c r="H62" s="17"/>
      <c r="I62" s="17"/>
      <c r="J62" s="17"/>
      <c r="K62" s="17"/>
      <c r="L62" s="16"/>
      <c r="M62" s="16"/>
      <c r="N62" s="16"/>
      <c r="O62" s="17"/>
    </row>
    <row r="63" ht="13.5" spans="1:15">
      <c r="A63" s="18">
        <v>56</v>
      </c>
      <c r="B63" s="16" t="s">
        <v>103</v>
      </c>
      <c r="C63" s="16">
        <f t="shared" si="2"/>
        <v>0</v>
      </c>
      <c r="D63" s="17"/>
      <c r="E63" s="17"/>
      <c r="F63" s="17"/>
      <c r="G63" s="17"/>
      <c r="H63" s="17"/>
      <c r="I63" s="17"/>
      <c r="J63" s="17"/>
      <c r="K63" s="17"/>
      <c r="L63" s="16"/>
      <c r="M63" s="16"/>
      <c r="N63" s="16"/>
      <c r="O63" s="17"/>
    </row>
    <row r="64" ht="13.5" spans="1:15">
      <c r="A64" s="15">
        <v>57</v>
      </c>
      <c r="B64" s="16" t="s">
        <v>104</v>
      </c>
      <c r="C64" s="16">
        <f t="shared" si="2"/>
        <v>103267.41</v>
      </c>
      <c r="D64" s="17">
        <f t="shared" ref="D64:O64" si="22">D59+D60-D61+D62-D63</f>
        <v>11679.67</v>
      </c>
      <c r="E64" s="17">
        <f t="shared" si="22"/>
        <v>14393.48</v>
      </c>
      <c r="F64" s="17">
        <f t="shared" si="22"/>
        <v>13699.67</v>
      </c>
      <c r="G64" s="17">
        <f t="shared" si="22"/>
        <v>-5362.13</v>
      </c>
      <c r="H64" s="17">
        <f t="shared" ref="H64:I64" si="23">H59+H60-H61+H62-H63</f>
        <v>12302.47</v>
      </c>
      <c r="I64" s="17">
        <f t="shared" si="23"/>
        <v>12799.53</v>
      </c>
      <c r="J64" s="17">
        <f t="shared" ref="J64:M64" si="24">J59+J60-J61+J62-J63</f>
        <v>16043.67</v>
      </c>
      <c r="K64" s="17">
        <f t="shared" si="24"/>
        <v>-26162.02</v>
      </c>
      <c r="L64" s="16">
        <f t="shared" si="24"/>
        <v>10157.75</v>
      </c>
      <c r="M64" s="16">
        <f t="shared" si="24"/>
        <v>16385.27</v>
      </c>
      <c r="N64" s="16">
        <f t="shared" si="22"/>
        <v>12242.15</v>
      </c>
      <c r="O64" s="17">
        <f t="shared" si="22"/>
        <v>15087.9</v>
      </c>
    </row>
    <row r="65" ht="13.5" spans="1:15">
      <c r="A65" s="18">
        <v>58</v>
      </c>
      <c r="B65" s="34" t="s">
        <v>105</v>
      </c>
      <c r="C65" s="16">
        <f t="shared" si="2"/>
        <v>0</v>
      </c>
      <c r="D65" s="35"/>
      <c r="E65" s="35"/>
      <c r="F65" s="35"/>
      <c r="G65" s="35"/>
      <c r="H65" s="35"/>
      <c r="I65" s="35"/>
      <c r="J65" s="35"/>
      <c r="K65" s="35"/>
      <c r="L65" s="34"/>
      <c r="M65" s="34"/>
      <c r="N65" s="34"/>
      <c r="O65" s="35"/>
    </row>
    <row r="66" ht="13.5" spans="1:15">
      <c r="A66" s="15">
        <v>59</v>
      </c>
      <c r="B66" s="16" t="s">
        <v>106</v>
      </c>
      <c r="C66" s="16">
        <f t="shared" si="2"/>
        <v>103267.41</v>
      </c>
      <c r="D66" s="17">
        <f>D64-D65</f>
        <v>11679.67</v>
      </c>
      <c r="E66" s="17">
        <f>E64-E65</f>
        <v>14393.48</v>
      </c>
      <c r="F66" s="17">
        <f>F64-F65</f>
        <v>13699.67</v>
      </c>
      <c r="G66" s="17">
        <f>G64-G65</f>
        <v>-5362.13</v>
      </c>
      <c r="H66" s="17">
        <f t="shared" ref="H66:I66" si="25">H64-H65</f>
        <v>12302.47</v>
      </c>
      <c r="I66" s="17">
        <f t="shared" si="25"/>
        <v>12799.53</v>
      </c>
      <c r="J66" s="17">
        <f t="shared" ref="J66:O66" si="26">J64-J65</f>
        <v>16043.67</v>
      </c>
      <c r="K66" s="17">
        <f t="shared" si="26"/>
        <v>-26162.02</v>
      </c>
      <c r="L66" s="16">
        <f t="shared" si="26"/>
        <v>10157.75</v>
      </c>
      <c r="M66" s="16">
        <f t="shared" si="26"/>
        <v>16385.27</v>
      </c>
      <c r="N66" s="16">
        <f t="shared" si="26"/>
        <v>12242.15</v>
      </c>
      <c r="O66" s="17">
        <f t="shared" si="26"/>
        <v>15087.9</v>
      </c>
    </row>
    <row r="68" spans="2:15">
      <c r="B68" s="2" t="s">
        <v>152</v>
      </c>
      <c r="C68" s="2">
        <f>SUM(D68:O68)</f>
        <v>795904.63</v>
      </c>
      <c r="D68" s="3">
        <f>D14+D30</f>
        <v>62487</v>
      </c>
      <c r="E68" s="3">
        <f t="shared" ref="D68:G68" si="27">E14+E30</f>
        <v>64773.19</v>
      </c>
      <c r="F68" s="3">
        <f t="shared" si="27"/>
        <v>65467</v>
      </c>
      <c r="G68" s="3">
        <f>G14+G30-G54</f>
        <v>68797.8</v>
      </c>
      <c r="H68" s="3">
        <f t="shared" ref="G68:O68" si="28">H14+H30-H54</f>
        <v>66864.2</v>
      </c>
      <c r="I68" s="3">
        <f t="shared" si="28"/>
        <v>66367.14</v>
      </c>
      <c r="J68" s="3">
        <f t="shared" si="28"/>
        <v>63123</v>
      </c>
      <c r="K68" s="3">
        <f t="shared" si="28"/>
        <v>75231.69</v>
      </c>
      <c r="L68" s="3">
        <f t="shared" si="28"/>
        <v>69008.92</v>
      </c>
      <c r="M68" s="3">
        <f t="shared" si="28"/>
        <v>62781.4</v>
      </c>
      <c r="N68" s="3">
        <f t="shared" si="28"/>
        <v>66924.52</v>
      </c>
      <c r="O68" s="3">
        <f t="shared" si="28"/>
        <v>64078.77</v>
      </c>
    </row>
    <row r="69" spans="2:16">
      <c r="B69" s="36" t="s">
        <v>153</v>
      </c>
      <c r="C69" s="2">
        <f>SUM(D69:O69)</f>
        <v>149095.41</v>
      </c>
      <c r="D69" s="37">
        <f>D7-D68</f>
        <v>11679.67</v>
      </c>
      <c r="E69" s="37">
        <f t="shared" ref="E69:O69" si="29">E7-E68+E13</f>
        <v>14393.48</v>
      </c>
      <c r="F69" s="37">
        <f t="shared" si="29"/>
        <v>13699.67</v>
      </c>
      <c r="G69" s="37">
        <f t="shared" si="29"/>
        <v>10368.87</v>
      </c>
      <c r="H69" s="37">
        <f t="shared" si="29"/>
        <v>12302.47</v>
      </c>
      <c r="I69" s="37">
        <f t="shared" si="29"/>
        <v>12799.53</v>
      </c>
      <c r="J69" s="38">
        <f t="shared" si="29"/>
        <v>16043.67</v>
      </c>
      <c r="K69" s="38">
        <f t="shared" si="29"/>
        <v>3934.98</v>
      </c>
      <c r="L69" s="38">
        <f t="shared" si="29"/>
        <v>10157.75</v>
      </c>
      <c r="M69" s="38">
        <f t="shared" si="29"/>
        <v>16385.27</v>
      </c>
      <c r="N69" s="38">
        <f t="shared" si="29"/>
        <v>12242.15</v>
      </c>
      <c r="O69" s="38">
        <f t="shared" si="29"/>
        <v>15087.9</v>
      </c>
      <c r="P69">
        <f>O69+N69+M69+L69+K69+J69</f>
        <v>73851.72</v>
      </c>
    </row>
    <row r="70" spans="6:16">
      <c r="F70" s="3">
        <f>D69+E69+F69+G69+H69+I69</f>
        <v>75243.69</v>
      </c>
      <c r="P70" s="39">
        <f>P69*0.4</f>
        <v>29540.688</v>
      </c>
    </row>
    <row r="71" spans="6:6">
      <c r="F71" s="37">
        <f>F70*0.4</f>
        <v>30097.476</v>
      </c>
    </row>
  </sheetData>
  <mergeCells count="15"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</mergeCells>
  <pageMargins left="0.7" right="0.7" top="0.75" bottom="0.75" header="0.3" footer="0.3"/>
  <pageSetup paperSize="9" orientation="portrait" verticalDpi="18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北辰</vt:lpstr>
      <vt:lpstr>林职院</vt:lpstr>
      <vt:lpstr>云大</vt:lpstr>
      <vt:lpstr>安宁</vt:lpstr>
      <vt:lpstr>呈贡</vt:lpstr>
      <vt:lpstr>学府</vt:lpstr>
      <vt:lpstr>莲华</vt:lpstr>
      <vt:lpstr>大理党校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sweet</cp:lastModifiedBy>
  <dcterms:created xsi:type="dcterms:W3CDTF">2017-12-15T03:29:00Z</dcterms:created>
  <dcterms:modified xsi:type="dcterms:W3CDTF">2024-03-26T06:43:11Z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40988C31CA9041C7BB68BF22D22F3170</vt:lpwstr>
  </property>
</Properties>
</file>