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0"/>
  </bookViews>
  <sheets>
    <sheet name="总部" sheetId="16" r:id="rId1"/>
    <sheet name="新大保洁" sheetId="19" r:id="rId2"/>
    <sheet name="昌吉" sheetId="18" r:id="rId3"/>
    <sheet name="36中" sheetId="17" r:id="rId4"/>
    <sheet name="石河子管理人员" sheetId="20" r:id="rId5"/>
    <sheet name="石河子南区" sheetId="21" r:id="rId6"/>
    <sheet name="石河子新北区" sheetId="23" r:id="rId7"/>
    <sheet name="石河子中区" sheetId="24" r:id="rId8"/>
    <sheet name="新疆大学绿化" sheetId="26" r:id="rId9"/>
    <sheet name="师范专科" sheetId="27" r:id="rId10"/>
    <sheet name="总工会" sheetId="25" r:id="rId11"/>
  </sheets>
  <externalReferences>
    <externalReference r:id="rId12"/>
    <externalReference r:id="rId13"/>
  </externalReferences>
  <definedNames>
    <definedName name="A">'[1]14、应急厅'!$RL$5</definedName>
    <definedName name="_xlnm._FilterDatabase" localSheetId="5" hidden="1">石河子南区!$A$3:$AV$65</definedName>
    <definedName name="_xlnm._FilterDatabase" localSheetId="6" hidden="1">石河子新北区!$A$1:$AT$63</definedName>
    <definedName name="_xlnm._FilterDatabase" localSheetId="7" hidden="1">石河子中区!$A$1:$AS$164</definedName>
    <definedName name="_xlnm._FilterDatabase" localSheetId="10" hidden="1">总工会!$A$3:$AY$25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外调330+500服装退费</t>
        </r>
      </text>
    </comment>
  </commentList>
</comments>
</file>

<file path=xl/sharedStrings.xml><?xml version="1.0" encoding="utf-8"?>
<sst xmlns="http://schemas.openxmlformats.org/spreadsheetml/2006/main" count="3162" uniqueCount="999">
  <si>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</si>
  <si>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</si>
  <si>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</si>
  <si>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</si>
  <si>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</si>
  <si>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</si>
  <si>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</si>
  <si>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</si>
  <si>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</si>
  <si>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</si>
  <si>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</si>
  <si>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</si>
  <si>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</si>
  <si>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</si>
  <si>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</si>
  <si>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</si>
  <si>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</si>
  <si>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</si>
  <si>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</si>
  <si>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新疆总部5月工资表</t>
  </si>
  <si>
    <t>病-事假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</si>
  <si>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</si>
  <si>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</si>
  <si>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</si>
  <si>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</si>
  <si>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</si>
  <si>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</si>
  <si>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</si>
  <si>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</si>
  <si>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</si>
  <si>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</si>
  <si>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</si>
  <si>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</si>
  <si>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</si>
  <si>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</si>
  <si>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</si>
  <si>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</si>
  <si>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</si>
  <si>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</si>
  <si>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</si>
  <si>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</si>
  <si>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</si>
  <si>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</si>
  <si>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</si>
  <si>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</si>
  <si>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</si>
  <si>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刘佳伟</t>
  </si>
  <si>
    <t>总经理助理</t>
  </si>
  <si>
    <t>2025.2.18</t>
  </si>
  <si>
    <t>转正</t>
  </si>
  <si>
    <t>4月1日起；车补1000元/月</t>
  </si>
  <si>
    <t>常宝轩</t>
  </si>
  <si>
    <t>市场助理</t>
  </si>
  <si>
    <t>2024.8.8</t>
  </si>
  <si>
    <t>余休1个班（31日）</t>
  </si>
  <si>
    <t>唐新梅</t>
  </si>
  <si>
    <t>人事专员</t>
  </si>
  <si>
    <t>2024.9.18</t>
  </si>
  <si>
    <t>余休0.9个班（5月10日15:00-21:00，5月27日19:00-21:00）</t>
  </si>
  <si>
    <t>退500元服装押金</t>
  </si>
  <si>
    <t>胡月蕊</t>
  </si>
  <si>
    <t>2023.7.13</t>
  </si>
  <si>
    <t>陈松山</t>
  </si>
  <si>
    <t>招聘主管</t>
  </si>
  <si>
    <t>2025.04.08</t>
  </si>
  <si>
    <t>试用</t>
  </si>
  <si>
    <t>补休1个班（6日）</t>
  </si>
  <si>
    <t>唐甜甜</t>
  </si>
  <si>
    <t>2025.4.27</t>
  </si>
  <si>
    <t>甄玉琪</t>
  </si>
  <si>
    <t>总经理</t>
  </si>
  <si>
    <t>2025.5.1</t>
  </si>
  <si>
    <t>许鸽鸽</t>
  </si>
  <si>
    <t>人事经理</t>
  </si>
  <si>
    <t>2025.5.12</t>
  </si>
  <si>
    <t>于5.12入职，出勤20个班</t>
  </si>
  <si>
    <t>阿米娜·吾布利哈斯木</t>
  </si>
  <si>
    <t>项目经理</t>
  </si>
  <si>
    <t>2025.5.6</t>
  </si>
  <si>
    <t>于5.6入职，出勤26个班，余休1个班（31日）</t>
  </si>
  <si>
    <t>克尔曼·吾布力</t>
  </si>
  <si>
    <t>2025.5.26</t>
  </si>
  <si>
    <t>于5.26入职，出勤6个班</t>
  </si>
  <si>
    <t>合计：</t>
  </si>
  <si>
    <t xml:space="preserve"> </t>
  </si>
  <si>
    <t>（新疆公司发）</t>
  </si>
  <si>
    <t>新疆大学工资表5月工资表</t>
  </si>
  <si>
    <t>应出勤班数</t>
  </si>
  <si>
    <t>旷工</t>
  </si>
  <si>
    <t>全勤奖（元）</t>
  </si>
  <si>
    <t>原余休（班）</t>
  </si>
  <si>
    <t>本月余休（班）</t>
  </si>
  <si>
    <t>现余休（班）</t>
  </si>
  <si>
    <t>考核
等级（分）</t>
  </si>
  <si>
    <t>考核奖励0处罚(元）</t>
  </si>
  <si>
    <t>推荐奖</t>
  </si>
  <si>
    <t>补贴</t>
  </si>
  <si>
    <t>其它补贴</t>
  </si>
  <si>
    <t>彩铃补贴</t>
  </si>
  <si>
    <t>其他扣款</t>
  </si>
  <si>
    <t>个税扣款</t>
  </si>
  <si>
    <t>病、事假</t>
  </si>
  <si>
    <t>其他假</t>
  </si>
  <si>
    <t>瞿昕</t>
  </si>
  <si>
    <t>备注4月社保未扣款</t>
  </si>
  <si>
    <t>赵洪涛</t>
  </si>
  <si>
    <t>助理</t>
  </si>
  <si>
    <t>离职</t>
  </si>
  <si>
    <t>6月1日已办理离职；</t>
  </si>
  <si>
    <t>雷亚峰</t>
  </si>
  <si>
    <t>司机</t>
  </si>
  <si>
    <t>出车16天，每天270元费用，270*16=4320元</t>
  </si>
  <si>
    <t>马玉英</t>
  </si>
  <si>
    <t>出车15天，每天270元费用，270*15=4050元</t>
  </si>
  <si>
    <t>刘 芳</t>
  </si>
  <si>
    <t>保洁员</t>
  </si>
  <si>
    <t>5月29日一教擦玻璃加班3500÷31÷8×3=42.3元加班费</t>
  </si>
  <si>
    <t>马清秀</t>
  </si>
  <si>
    <t>牛建梅</t>
  </si>
  <si>
    <t>5月26日行政楼加班产生交通费45.5元</t>
  </si>
  <si>
    <t>印叔军</t>
  </si>
  <si>
    <t>5月26日、5月28日活动中心加班1个班3500÷31=112.9，车补1500元/月</t>
  </si>
  <si>
    <t>丁 悦</t>
  </si>
  <si>
    <t>5月25日加班1个班3500÷31=112.9</t>
  </si>
  <si>
    <t>热尔扎·巴哈达提</t>
  </si>
  <si>
    <t>沙惠玲</t>
  </si>
  <si>
    <t>张小红</t>
  </si>
  <si>
    <t>马 兰（A）</t>
  </si>
  <si>
    <t>杨茹红</t>
  </si>
  <si>
    <t>5月25日、5月26日、5月28日活动中心加班1.5个班，3500÷31×1.5=169.3元</t>
  </si>
  <si>
    <t>苏文花</t>
  </si>
  <si>
    <t>请假2个班（5月7日、5月18日）</t>
  </si>
  <si>
    <t>苏 丽</t>
  </si>
  <si>
    <t>5月29日一教擦玻璃加班3500÷31÷8×3=42.3元加班费
6月1日已办理离职</t>
  </si>
  <si>
    <t>田玉芬</t>
  </si>
  <si>
    <t>布里恒·玉素提</t>
  </si>
  <si>
    <t>请假1个班（5月18日）</t>
  </si>
  <si>
    <t>刘春华</t>
  </si>
  <si>
    <t>马发梅</t>
  </si>
  <si>
    <t>代班费100元，请假1个班（5月25日）</t>
  </si>
  <si>
    <t>马小梅</t>
  </si>
  <si>
    <t>马彦红</t>
  </si>
  <si>
    <t>冶彩霞</t>
  </si>
  <si>
    <t>周金燕</t>
  </si>
  <si>
    <t>张桂珍</t>
  </si>
  <si>
    <t>5月29日一教擦玻璃加班3500÷31÷8×3=42.3元加班费，请假0.5个班（5月19日下午）</t>
  </si>
  <si>
    <t>韩东立</t>
  </si>
  <si>
    <t>车补2500元/月；</t>
  </si>
  <si>
    <t>高梅</t>
  </si>
  <si>
    <t>宫继梅</t>
  </si>
  <si>
    <t>张月梅</t>
  </si>
  <si>
    <t>木沙依甫·局玛太</t>
  </si>
  <si>
    <t>车补1000元/月，请假2个班（18日，26日）</t>
  </si>
  <si>
    <t>云淑媛</t>
  </si>
  <si>
    <t>请假2个班（5月2日、5月4日）</t>
  </si>
  <si>
    <t>刘桂云</t>
  </si>
  <si>
    <t>袁建志</t>
  </si>
  <si>
    <t>修补图书馆尘推车轮胎垫付25元</t>
  </si>
  <si>
    <t>李琴</t>
  </si>
  <si>
    <t>5月26日、5月28日活动中心加班1个班，3500÷31=112.9元</t>
  </si>
  <si>
    <t>古丽柯孜.图尼亚孜</t>
  </si>
  <si>
    <t>请假1个班（5月28日）</t>
  </si>
  <si>
    <t>李英</t>
  </si>
  <si>
    <t>5月29日一教擦玻璃加班三小时3500÷31÷8×3=42.3元加班费</t>
  </si>
  <si>
    <t>努尔沙毕.阿德勒拜</t>
  </si>
  <si>
    <t>孙存英</t>
  </si>
  <si>
    <t>白永花</t>
  </si>
  <si>
    <t>马发夜</t>
  </si>
  <si>
    <t>马志江</t>
  </si>
  <si>
    <t>车补2500每月</t>
  </si>
  <si>
    <t>余东来</t>
  </si>
  <si>
    <t>损坏学校话筒赔偿500元，从该月工资扣除</t>
  </si>
  <si>
    <t>马会</t>
  </si>
  <si>
    <t>马存梅</t>
  </si>
  <si>
    <t>马艳花</t>
  </si>
  <si>
    <t>阿依古丽·马尔里</t>
  </si>
  <si>
    <t>5月26日开始上班
5月29日一教擦玻璃加班三小时3500÷31÷8×3=42.3元加班费</t>
  </si>
  <si>
    <t>新疆公司发</t>
  </si>
  <si>
    <t>假期休假（班）</t>
  </si>
  <si>
    <t>本月补休（班）</t>
  </si>
  <si>
    <t>新疆昌吉5月工资表</t>
  </si>
  <si>
    <t>社保及公积金</t>
  </si>
  <si>
    <t>狄刚</t>
  </si>
  <si>
    <t>项目主管</t>
  </si>
  <si>
    <t>退4月服装费500元；新疆公司发</t>
  </si>
  <si>
    <t>马建锋</t>
  </si>
  <si>
    <t>绿化员</t>
  </si>
  <si>
    <t>冯俊跃</t>
  </si>
  <si>
    <t>班德山</t>
  </si>
  <si>
    <t>张立新</t>
  </si>
  <si>
    <t>夜班浇水</t>
  </si>
  <si>
    <t>胡树平</t>
  </si>
  <si>
    <t>赛秀萍</t>
  </si>
  <si>
    <t>孙苗</t>
  </si>
  <si>
    <t>姜天旭</t>
  </si>
  <si>
    <t>卢占勇</t>
  </si>
  <si>
    <t>维修</t>
  </si>
  <si>
    <t>张泽年</t>
  </si>
  <si>
    <t>张子留</t>
  </si>
  <si>
    <t>哈力木努尔.阿达克</t>
  </si>
  <si>
    <t>（管理人员新疆公司发，其他的劳务代发）</t>
  </si>
  <si>
    <t>新疆36中5月工资表</t>
  </si>
  <si>
    <t>应出勤天数</t>
  </si>
  <si>
    <t>迟到/旷工</t>
  </si>
  <si>
    <t>扣款</t>
  </si>
  <si>
    <t>社保公积金</t>
  </si>
  <si>
    <t>唐言泽</t>
  </si>
  <si>
    <t>2024.9.10</t>
  </si>
  <si>
    <t>退4月服装费用500元</t>
  </si>
  <si>
    <t>拉依汗·沙合都拉</t>
  </si>
  <si>
    <t>面点师</t>
  </si>
  <si>
    <t>2024.8.1</t>
  </si>
  <si>
    <t>分公司发</t>
  </si>
  <si>
    <t>徐芳</t>
  </si>
  <si>
    <t>2024.8.2</t>
  </si>
  <si>
    <t>麦麦提艾力·阿吉</t>
  </si>
  <si>
    <t>切配</t>
  </si>
  <si>
    <t>2024.8.19</t>
  </si>
  <si>
    <t>迟到20分钟，3月因操作流程不规范扣50元、冷库香菜标签没有贴扣10元</t>
  </si>
  <si>
    <t>祖拉木·马木提</t>
  </si>
  <si>
    <t>服务员</t>
  </si>
  <si>
    <t>2024.8.22</t>
  </si>
  <si>
    <t>麦祖热姆·艾则孜</t>
  </si>
  <si>
    <t>依力牙斯·吐尔洪</t>
  </si>
  <si>
    <t>厨师</t>
  </si>
  <si>
    <t>2024.9.9</t>
  </si>
  <si>
    <t>卡地尔·托乎提</t>
  </si>
  <si>
    <t>仝啊伟</t>
  </si>
  <si>
    <t>2024.12.26</t>
  </si>
  <si>
    <t>3月淀粉标签没有贴扣20元</t>
  </si>
  <si>
    <t>阿依古丽·阿卜来提</t>
  </si>
  <si>
    <t>2025.4.10</t>
  </si>
  <si>
    <t>陈娜婷</t>
  </si>
  <si>
    <t>2025.4.14</t>
  </si>
  <si>
    <t>审核：</t>
  </si>
  <si>
    <t>（1人员新疆公司发，1人新疆分公司发，其他的劳务代发）</t>
  </si>
  <si>
    <t>其它扣款/服装扣款</t>
  </si>
  <si>
    <t>罗曼</t>
  </si>
  <si>
    <t>2025年4月扣500元服装押金，5月返还。</t>
  </si>
  <si>
    <t>聂珊珊</t>
  </si>
  <si>
    <t>项目助理</t>
  </si>
  <si>
    <t>许红鑫</t>
  </si>
  <si>
    <t>余休1个班（1日）；</t>
  </si>
  <si>
    <t xml:space="preserve">2025年4月扣500元服装押金，5月返还。
</t>
  </si>
  <si>
    <t xml:space="preserve">余休1个班（1日）；2025年4月扣500元服装押金，5月返还。
</t>
  </si>
  <si>
    <t>周钰翔</t>
  </si>
  <si>
    <t>马燕红</t>
  </si>
  <si>
    <t>从4月1日起工资从4000元调整为4500元</t>
  </si>
  <si>
    <t>从4月1日起工资从4000元调整为4500元2025年4月扣500元服装押金，5月返还。</t>
  </si>
  <si>
    <t>马靖宇</t>
  </si>
  <si>
    <t>物业助理</t>
  </si>
  <si>
    <t>2025年4月扣500元服装押金，5月返还；备注新疆大学保洁标段出勤11个班（21日-31日），每日30元补贴，合计330元；合计分摊1572元</t>
  </si>
  <si>
    <t>邹洋</t>
  </si>
  <si>
    <t>2025年5月16日入职;工资按3500元计发；</t>
  </si>
  <si>
    <t>/</t>
  </si>
  <si>
    <t>2025年5月16日入职;工资按3500元计发；/</t>
  </si>
  <si>
    <t/>
  </si>
  <si>
    <t>（石河子发）</t>
  </si>
  <si>
    <t>2025年石河子大学项目南区5月考勤工资表</t>
  </si>
  <si>
    <t>个税</t>
  </si>
  <si>
    <t>服装扣款</t>
  </si>
  <si>
    <t>其它扣款</t>
  </si>
  <si>
    <t>备注</t>
  </si>
  <si>
    <t>马维珍</t>
  </si>
  <si>
    <t>主管</t>
  </si>
  <si>
    <t>2024.11.1</t>
  </si>
  <si>
    <t>严涛</t>
  </si>
  <si>
    <t>保洁</t>
  </si>
  <si>
    <t>2025年5月1日开始社保停保，社保减员</t>
  </si>
  <si>
    <t>陈洁</t>
  </si>
  <si>
    <t>司红梅</t>
  </si>
  <si>
    <t>图尔荪古丽·塞麦提</t>
  </si>
  <si>
    <t>张爱江</t>
  </si>
  <si>
    <t>门岗</t>
  </si>
  <si>
    <t>熊杨军</t>
  </si>
  <si>
    <t>2月推荐奖100元</t>
  </si>
  <si>
    <t>吕晓明</t>
  </si>
  <si>
    <t>马彩红</t>
  </si>
  <si>
    <t>宿管</t>
  </si>
  <si>
    <t>因公司调整，2025年1-10日按原1500元发放工资，11-31日按1400元发放工资</t>
  </si>
  <si>
    <t>1500/1400</t>
  </si>
  <si>
    <t>蔡凤</t>
  </si>
  <si>
    <t>闫爱军</t>
  </si>
  <si>
    <t>..</t>
  </si>
  <si>
    <t>杜建峰</t>
  </si>
  <si>
    <t>何梅</t>
  </si>
  <si>
    <t>侯珍</t>
  </si>
  <si>
    <t>刘玉兰</t>
  </si>
  <si>
    <t>2024.11.25</t>
  </si>
  <si>
    <t>张明明</t>
  </si>
  <si>
    <t>2024.11.22</t>
  </si>
  <si>
    <r>
      <rPr>
        <sz val="8"/>
        <color theme="1"/>
        <rFont val="宋体"/>
        <charset val="134"/>
      </rPr>
      <t>2月推荐奖200元
2025年5月26-31日到中区6号宿舍楼扩岗6天
2400</t>
    </r>
    <r>
      <rPr>
        <sz val="8"/>
        <color theme="1"/>
        <rFont val="Arial"/>
        <charset val="134"/>
      </rPr>
      <t>÷</t>
    </r>
    <r>
      <rPr>
        <sz val="8"/>
        <color theme="1"/>
        <rFont val="宋体"/>
        <charset val="134"/>
      </rPr>
      <t>31</t>
    </r>
    <r>
      <rPr>
        <sz val="8"/>
        <color theme="1"/>
        <rFont val="Arial"/>
        <charset val="134"/>
      </rPr>
      <t>×</t>
    </r>
    <r>
      <rPr>
        <sz val="8"/>
        <color theme="1"/>
        <rFont val="宋体"/>
        <charset val="134"/>
      </rPr>
      <t>6=464.51元</t>
    </r>
  </si>
  <si>
    <t>2月推荐奖200元
2025年5月26-31日到中区6号宿舍楼扩岗6天
2400÷31×6=464.51元</t>
  </si>
  <si>
    <t>沈淑华</t>
  </si>
  <si>
    <t>因公司调整，2025年1-10日按原1500元发放工资，11-31日按1400元发放工资
2月推荐奖100元</t>
  </si>
  <si>
    <t>宗利萍</t>
  </si>
  <si>
    <t>岑爱华</t>
  </si>
  <si>
    <t>李守群</t>
  </si>
  <si>
    <r>
      <rPr>
        <sz val="8"/>
        <color theme="1"/>
        <rFont val="宋体"/>
        <charset val="134"/>
      </rPr>
      <t>26-31日6天扩岗工资：2600</t>
    </r>
    <r>
      <rPr>
        <sz val="8"/>
        <color theme="1"/>
        <rFont val="Arial"/>
        <charset val="134"/>
      </rPr>
      <t>÷</t>
    </r>
    <r>
      <rPr>
        <sz val="8"/>
        <color theme="1"/>
        <rFont val="宋体"/>
        <charset val="134"/>
      </rPr>
      <t>31</t>
    </r>
    <r>
      <rPr>
        <sz val="8"/>
        <color theme="1"/>
        <rFont val="Arial"/>
        <charset val="134"/>
      </rPr>
      <t>×</t>
    </r>
    <r>
      <rPr>
        <sz val="8"/>
        <color theme="1"/>
        <rFont val="宋体"/>
        <charset val="134"/>
      </rPr>
      <t>6=503.22元</t>
    </r>
  </si>
  <si>
    <t>26-31日6天扩岗工资：2600÷31×6=503.22元</t>
  </si>
  <si>
    <t>范金卯</t>
  </si>
  <si>
    <t>2024.11.9</t>
  </si>
  <si>
    <t>1-12日12天扩岗杏五工资（2300元）：2300÷31×12=890.32元</t>
  </si>
  <si>
    <t>马丽</t>
  </si>
  <si>
    <t>王玲</t>
  </si>
  <si>
    <t>孙燕</t>
  </si>
  <si>
    <t>庞娣玲</t>
  </si>
  <si>
    <t>2月推荐奖200元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</si>
  <si>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</si>
  <si>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</si>
  <si>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</si>
  <si>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</si>
  <si>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</si>
  <si>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</si>
  <si>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</si>
  <si>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</si>
  <si>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</si>
  <si>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</si>
  <si>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</si>
  <si>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</si>
  <si>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</si>
  <si>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</si>
  <si>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</si>
  <si>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</si>
  <si>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t>2025.2.27</t>
  </si>
  <si>
    <r>
      <rPr>
        <sz val="8"/>
        <color theme="1"/>
        <rFont val="宋体"/>
        <charset val="134"/>
      </rPr>
      <t>2间教室100</t>
    </r>
    <r>
      <rPr>
        <sz val="8"/>
        <color indexed="8"/>
        <rFont val="Arial"/>
        <charset val="0"/>
      </rPr>
      <t>×</t>
    </r>
    <r>
      <rPr>
        <sz val="8"/>
        <color theme="1"/>
        <rFont val="宋体"/>
        <charset val="134"/>
      </rPr>
      <t>2=200元</t>
    </r>
  </si>
  <si>
    <t>2间教室100×2=200元</t>
  </si>
  <si>
    <t>简梅</t>
  </si>
  <si>
    <t>2025.2.19</t>
  </si>
  <si>
    <t>赵春燕</t>
  </si>
  <si>
    <t>2025.2.20</t>
  </si>
  <si>
    <t>李红</t>
  </si>
  <si>
    <t>2025.2.9</t>
  </si>
  <si>
    <t>刘雪莲</t>
  </si>
  <si>
    <t>2025.2.21</t>
  </si>
  <si>
    <t>叶青</t>
  </si>
  <si>
    <t>2025.3.17</t>
  </si>
  <si>
    <t>杨文杰</t>
  </si>
  <si>
    <t>2025.3.7</t>
  </si>
  <si>
    <t>2025年5月12-30日请病假20天，本月出勤11天</t>
  </si>
  <si>
    <t>甘德英</t>
  </si>
  <si>
    <t>2025.3.22</t>
  </si>
  <si>
    <t>郭江华</t>
  </si>
  <si>
    <t>2025.3.24</t>
  </si>
  <si>
    <t>陶桂兰</t>
  </si>
  <si>
    <t>2025.3.1</t>
  </si>
  <si>
    <t>郑列侠</t>
  </si>
  <si>
    <t>韩格爱</t>
  </si>
  <si>
    <t>2025.3.14</t>
  </si>
  <si>
    <t>2025年5月24日离职，本月出勤23天</t>
  </si>
  <si>
    <t>王宏</t>
  </si>
  <si>
    <t>2025.4.1</t>
  </si>
  <si>
    <t>李国胜</t>
  </si>
  <si>
    <t>2025.4.12</t>
  </si>
  <si>
    <t>张绍英</t>
  </si>
  <si>
    <t>王红梅</t>
  </si>
  <si>
    <t>2025.4.18</t>
  </si>
  <si>
    <t>罗华</t>
  </si>
  <si>
    <t>朱爱霞</t>
  </si>
  <si>
    <t>2025.4.16</t>
  </si>
  <si>
    <t>刘新东</t>
  </si>
  <si>
    <t>2025.5.8</t>
  </si>
  <si>
    <t>2025年5月8日入职</t>
  </si>
  <si>
    <t>张风香</t>
  </si>
  <si>
    <t>2025年5月1日入职</t>
  </si>
  <si>
    <t>张芳</t>
  </si>
  <si>
    <t>2025.5.13</t>
  </si>
  <si>
    <t>2025年5月13日入职</t>
  </si>
  <si>
    <t>衡玲</t>
  </si>
  <si>
    <t>2025年5月12日入职</t>
  </si>
  <si>
    <t>2025年石河子大学项目新北区5月考勤工资表</t>
  </si>
  <si>
    <t>社保</t>
  </si>
  <si>
    <t>付能英</t>
  </si>
  <si>
    <t>买社保</t>
  </si>
  <si>
    <t>/买社保</t>
  </si>
  <si>
    <t>李惠玲</t>
  </si>
  <si>
    <t>龙霖</t>
  </si>
  <si>
    <t>陈玲玲</t>
  </si>
  <si>
    <t>米美沙</t>
  </si>
  <si>
    <t>因工作时腰部扭伤住院休息，审批流程已同意1-11日（11天）按出勤全额发放工资；</t>
  </si>
  <si>
    <t>杨俊霞</t>
  </si>
  <si>
    <t>保洁领班</t>
  </si>
  <si>
    <t>每月代班费300元
4月代班费未发计入5月工资中
2月员工推荐奖100元
300+300=600元</t>
  </si>
  <si>
    <t>章四华</t>
  </si>
  <si>
    <t>盖青爱</t>
  </si>
  <si>
    <t>康海元</t>
  </si>
  <si>
    <t>何菊儒</t>
  </si>
  <si>
    <t>谢国君</t>
  </si>
  <si>
    <t>2025年5月19日离职，本月出勤18天
2月员工推荐奖200元</t>
  </si>
  <si>
    <t>郑玉香</t>
  </si>
  <si>
    <t>吴惠芳</t>
  </si>
  <si>
    <t>张艳梅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</si>
  <si>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</si>
  <si>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</si>
  <si>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</si>
  <si>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</si>
  <si>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</si>
  <si>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</si>
  <si>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</si>
  <si>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张汝珍</t>
  </si>
  <si>
    <t>2月员工推荐奖100元</t>
  </si>
  <si>
    <t>朱平</t>
  </si>
  <si>
    <t>朱慧丽</t>
  </si>
  <si>
    <t>熊永勤</t>
  </si>
  <si>
    <t>2024.11.5</t>
  </si>
  <si>
    <t>吴文娟</t>
  </si>
  <si>
    <t>2024.11.17</t>
  </si>
  <si>
    <t>张丽丽</t>
  </si>
  <si>
    <t>2024.11.23</t>
  </si>
  <si>
    <t>王玫</t>
  </si>
  <si>
    <t>2024.11.18</t>
  </si>
  <si>
    <t>2025年5月1-7日请假7天，本月出勤24天；2月员工推荐奖100元</t>
  </si>
  <si>
    <t>何丽辉</t>
  </si>
  <si>
    <t>2024.11.16</t>
  </si>
  <si>
    <t>2025年6-20日请假15天，本月出勤16天</t>
  </si>
  <si>
    <t>任莉</t>
  </si>
  <si>
    <t>2024.12.1</t>
  </si>
  <si>
    <t>在职</t>
  </si>
  <si>
    <t>海尼古丽</t>
  </si>
  <si>
    <t>2024.12.10</t>
  </si>
  <si>
    <t>胡江华</t>
  </si>
  <si>
    <t>2025.1.1</t>
  </si>
  <si>
    <t>张新燕</t>
  </si>
  <si>
    <t>2025.2.10</t>
  </si>
  <si>
    <t>郑书英</t>
  </si>
  <si>
    <t>2025.2.24</t>
  </si>
  <si>
    <t>夏桂荣</t>
  </si>
  <si>
    <t>2025.3.5</t>
  </si>
  <si>
    <r>
      <rPr>
        <sz val="10"/>
        <color theme="1"/>
        <rFont val="宋体"/>
        <charset val="134"/>
      </rPr>
      <t>因米美沙伤部扭伤，扩岗5.5天
2300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5.5=408.06元</t>
    </r>
  </si>
  <si>
    <t>因米美沙伤部扭伤，扩岗5.5天
2300÷31×5.5=408.06元</t>
  </si>
  <si>
    <t>麦尔艳.吾马</t>
  </si>
  <si>
    <r>
      <rPr>
        <sz val="10"/>
        <color rgb="FFFF0000"/>
        <rFont val="宋体"/>
        <charset val="134"/>
      </rPr>
      <t>2025年5月15日已办理离职，本月出勤14天
因米美沙伤部扭伤，扩岗5.5天
2300</t>
    </r>
    <r>
      <rPr>
        <sz val="10"/>
        <color rgb="FFFF0000"/>
        <rFont val="Arial"/>
        <charset val="134"/>
      </rPr>
      <t>÷</t>
    </r>
    <r>
      <rPr>
        <sz val="10"/>
        <color rgb="FFFF0000"/>
        <rFont val="宋体"/>
        <charset val="134"/>
      </rPr>
      <t>31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宋体"/>
        <charset val="134"/>
      </rPr>
      <t>5.5=408.06元</t>
    </r>
  </si>
  <si>
    <t>2025年5月15日已办理离职，本月出勤14天
因米美沙伤部扭伤，扩岗5.5天
2300÷31×5.5=408.06元</t>
  </si>
  <si>
    <t>曹霞</t>
  </si>
  <si>
    <t>2025.3.18</t>
  </si>
  <si>
    <t>闫芳</t>
  </si>
  <si>
    <t>刘东红</t>
  </si>
  <si>
    <t>2025.3.4</t>
  </si>
  <si>
    <t>谢荣</t>
  </si>
  <si>
    <t>2025.4.3</t>
  </si>
  <si>
    <t>桂长玉</t>
  </si>
  <si>
    <t>李美芝</t>
  </si>
  <si>
    <t>2025.4.9</t>
  </si>
  <si>
    <t>刘淑萍</t>
  </si>
  <si>
    <t>2025.4.2</t>
  </si>
  <si>
    <t>2025年21-31日请假11天，本月出勤20天</t>
  </si>
  <si>
    <t>孙莉</t>
  </si>
  <si>
    <t>2025.4.6</t>
  </si>
  <si>
    <t>冉伟萍</t>
  </si>
  <si>
    <t>2025.5.20</t>
  </si>
  <si>
    <t>2025年5月20日入职</t>
  </si>
  <si>
    <t>崔云</t>
  </si>
  <si>
    <t>2025.5.22</t>
  </si>
  <si>
    <t>2025年5月22日入职</t>
  </si>
  <si>
    <t>韩荃</t>
  </si>
  <si>
    <t>2025年5月6日入职</t>
  </si>
  <si>
    <t>李晓琴</t>
  </si>
  <si>
    <t>2025.5.7</t>
  </si>
  <si>
    <t>2025年5月7日入职</t>
  </si>
  <si>
    <t>樊新凤</t>
  </si>
  <si>
    <t>李淑平</t>
  </si>
  <si>
    <t>林素侠</t>
  </si>
  <si>
    <t>康新安</t>
  </si>
  <si>
    <t>2025.5.9</t>
  </si>
  <si>
    <t>2025年5月9日入职</t>
  </si>
  <si>
    <t>韩红梅</t>
  </si>
  <si>
    <t>2025.5.27</t>
  </si>
  <si>
    <t>2025年5月27日入职</t>
  </si>
  <si>
    <t>张俊梅</t>
  </si>
  <si>
    <t>2025年5月21日离职，本月出勤20天</t>
  </si>
  <si>
    <t>李蓉</t>
  </si>
  <si>
    <t>2025.5.15</t>
  </si>
  <si>
    <r>
      <rPr>
        <sz val="10"/>
        <color rgb="FFFF0000"/>
        <rFont val="宋体"/>
        <charset val="134"/>
      </rPr>
      <t>2025年5月15日入职，2025年5月26日离职，</t>
    </r>
    <r>
      <rPr>
        <sz val="10"/>
        <color theme="1"/>
        <rFont val="宋体"/>
        <charset val="134"/>
      </rPr>
      <t>本月出勤11天</t>
    </r>
  </si>
  <si>
    <t>2025年5月15日入职，2025年5月26日离职，本月出勤11天</t>
  </si>
  <si>
    <r>
      <rPr>
        <sz val="10"/>
        <color rgb="FFFF0000"/>
        <rFont val="宋体"/>
        <charset val="134"/>
      </rPr>
      <t>2025年6月1日离职</t>
    </r>
    <r>
      <rPr>
        <sz val="10"/>
        <color theme="1"/>
        <rFont val="宋体"/>
        <charset val="134"/>
      </rPr>
      <t>，本月出勤31天</t>
    </r>
  </si>
  <si>
    <t>2025年6月1日离职，本月出勤31天</t>
  </si>
  <si>
    <t xml:space="preserve"> 石河子发）</t>
  </si>
  <si>
    <t>2025年石河子大学项目中区5月考勤工资表</t>
  </si>
  <si>
    <t>其他 补贴</t>
  </si>
  <si>
    <t>贺宝珠</t>
  </si>
  <si>
    <t>2024.10.28</t>
  </si>
  <si>
    <t>2025年5月1-25日按2950元发放工资，26-31日按2100元发放</t>
  </si>
  <si>
    <t>2950/2100</t>
  </si>
  <si>
    <t>2025年5月1-25日按2950元发放工资，26-31日按2100元发放买社保</t>
  </si>
  <si>
    <t>石河子分公司发</t>
  </si>
  <si>
    <t>况勇</t>
  </si>
  <si>
    <t>2024.10.29</t>
  </si>
  <si>
    <t>李春</t>
  </si>
  <si>
    <t>刘芳</t>
  </si>
  <si>
    <t>2024.10.31</t>
  </si>
  <si>
    <t>刘雪梅</t>
  </si>
  <si>
    <t>张海娥</t>
  </si>
  <si>
    <t>2024.11.10</t>
  </si>
  <si>
    <t>王梅</t>
  </si>
  <si>
    <t>2024.11.28</t>
  </si>
  <si>
    <t>张玉静</t>
  </si>
  <si>
    <t>2024.11.6</t>
  </si>
  <si>
    <t>吴文香</t>
  </si>
  <si>
    <t>2024.12.18</t>
  </si>
  <si>
    <t>滕建琼</t>
  </si>
  <si>
    <t>2025.1.17</t>
  </si>
  <si>
    <t>李嘉欣</t>
  </si>
  <si>
    <t>2025.1.14</t>
  </si>
  <si>
    <t>大教室150元×1间=150元，中教室80元×6间=480元，小教室50元×1间=50元
2025年5月另计发工资为：150+480+50=680元</t>
  </si>
  <si>
    <t>大教室150元×1间=150元，中教室80元×6间=480元，小教室50元×1间=50元
2025年5月另计发工资为：150+480+50=680元买社保</t>
  </si>
  <si>
    <t>顾龙华</t>
  </si>
  <si>
    <r>
      <rPr>
        <sz val="10"/>
        <color theme="1"/>
        <rFont val="宋体"/>
        <charset val="134"/>
      </rPr>
      <t>2间大教室100</t>
    </r>
    <r>
      <rPr>
        <sz val="10"/>
        <color rgb="FF000000"/>
        <rFont val="Arial"/>
        <charset val="134"/>
      </rPr>
      <t>×</t>
    </r>
    <r>
      <rPr>
        <sz val="10"/>
        <color theme="1"/>
        <rFont val="宋体"/>
        <charset val="134"/>
      </rPr>
      <t>2=200元
4月教室200元未发，计入5月工资中200+200+200=600元</t>
    </r>
  </si>
  <si>
    <t>2间大教室100×2=200元
4月教室200元未发，计入5月工资中200+200+200=600元买社保</t>
  </si>
  <si>
    <t>2025.1.6</t>
  </si>
  <si>
    <t>侯彩霞</t>
  </si>
  <si>
    <t>2025.3.11</t>
  </si>
  <si>
    <t>5月交社保</t>
  </si>
  <si>
    <t>5月交社保买社保</t>
  </si>
  <si>
    <t>张海江</t>
  </si>
  <si>
    <t>2025年4月1日起不再缴纳社保，工资调整为2300元</t>
  </si>
  <si>
    <t>王隔</t>
  </si>
  <si>
    <t>2025.2.14</t>
  </si>
  <si>
    <t>中教室80元×14间=1120元，小教室50元×1间=50元
2025年5月另计发工资为：（1120+50）=1170元</t>
  </si>
  <si>
    <t>赵雪霞</t>
  </si>
  <si>
    <t>2025.2.15</t>
  </si>
  <si>
    <r>
      <rPr>
        <sz val="10"/>
        <color theme="1"/>
        <rFont val="宋体"/>
        <charset val="134"/>
      </rPr>
      <t>5月1-20日大教室150元×1间=150元，中教室80元×5间=400元，小教室50元×2间=100元
150+400+100=650元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20=419.35元
21-31日：中教室80元×3间=240元，小教室50元×7间=350元
（350+240）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11=209.35
5月计发：419.35+209.35=628.7元</t>
    </r>
  </si>
  <si>
    <t>5月1-20日大教室150元×1间=150元，中教室80元×5间=400元，小教室50元×2间=100元
150+400+100=650元÷31×20=419.35元
21-31日：中教室80元×3间=240元，小教室50元×7间=350元
（350+240）÷31×11=209.35
5月计发：419.35+209.35=628.7元</t>
  </si>
  <si>
    <t>杨英奎</t>
  </si>
  <si>
    <t>夜班门岗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</si>
  <si>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</si>
  <si>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</si>
  <si>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</si>
  <si>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</si>
  <si>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</si>
  <si>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</si>
  <si>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</si>
  <si>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</si>
  <si>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</si>
  <si>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</si>
  <si>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</si>
  <si>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</si>
  <si>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</si>
  <si>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</si>
  <si>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庞建敏</t>
  </si>
  <si>
    <t>2024.11.3</t>
  </si>
  <si>
    <t>曹建梅</t>
  </si>
  <si>
    <t>2024.11.15</t>
  </si>
  <si>
    <t>张玉华</t>
  </si>
  <si>
    <t>工作期间捡瓶子罚20元</t>
  </si>
  <si>
    <t>严玲</t>
  </si>
  <si>
    <t>张惠连</t>
  </si>
  <si>
    <t>2024.11.7</t>
  </si>
  <si>
    <t>苟涛涛</t>
  </si>
  <si>
    <t>王小红</t>
  </si>
  <si>
    <t>2024.11.11</t>
  </si>
  <si>
    <t>王月华</t>
  </si>
  <si>
    <t>2024.11.12</t>
  </si>
  <si>
    <t>齐秋玲</t>
  </si>
  <si>
    <t>2024.11.13</t>
  </si>
  <si>
    <t>范翠玲</t>
  </si>
  <si>
    <t>2024.11.20</t>
  </si>
  <si>
    <t>杨玉香</t>
  </si>
  <si>
    <t>2024.11.26</t>
  </si>
  <si>
    <t>许莉</t>
  </si>
  <si>
    <t>2024.11.29</t>
  </si>
  <si>
    <t>每月代班费200元</t>
  </si>
  <si>
    <t>赵五萍</t>
  </si>
  <si>
    <t>2025年6月1日离职</t>
  </si>
  <si>
    <t>马玉花</t>
  </si>
  <si>
    <t>2025年5月27日离职，本月出勤26天</t>
  </si>
  <si>
    <t>庄庆兰</t>
  </si>
  <si>
    <t>安小连</t>
  </si>
  <si>
    <t>牛旭玲</t>
  </si>
  <si>
    <t>何勤香</t>
  </si>
  <si>
    <t>刘英</t>
  </si>
  <si>
    <t>范国红</t>
  </si>
  <si>
    <r>
      <rPr>
        <sz val="10"/>
        <color theme="1"/>
        <rFont val="宋体"/>
        <charset val="134"/>
      </rPr>
      <t xml:space="preserve">2间大教室（100元/间）、1间小教室（50元/间）100×2＋50=250元，
</t>
    </r>
    <r>
      <rPr>
        <sz val="10"/>
        <color rgb="FFFF0000"/>
        <rFont val="宋体"/>
        <charset val="134"/>
      </rPr>
      <t>从4月1日知行楼减少1名保洁扩岗后，工资调整为2800元</t>
    </r>
  </si>
  <si>
    <t>2300/2800</t>
  </si>
  <si>
    <t>2间大教室（100元/间）、1间小教室（50元/间）100×2＋50=250元，
从4月1日知行楼减少1名保洁扩岗后，工资调整为2800元</t>
  </si>
  <si>
    <t>邓玲</t>
  </si>
  <si>
    <t>保洁兼门岗</t>
  </si>
  <si>
    <t>何立新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</si>
  <si>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</si>
  <si>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</si>
  <si>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</si>
  <si>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</si>
  <si>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</si>
  <si>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</si>
  <si>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</si>
  <si>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</si>
  <si>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</si>
  <si>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</si>
  <si>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2025年4月1日起调整基本资为1900元，4月还按2100发放工资，需在5月工资扣除200元。</t>
  </si>
  <si>
    <t>2100/1900</t>
  </si>
  <si>
    <t>王春晖</t>
  </si>
  <si>
    <t>李玉芬</t>
  </si>
  <si>
    <t>解玉玲</t>
  </si>
  <si>
    <t>邹翠萍</t>
  </si>
  <si>
    <t>关月新</t>
  </si>
  <si>
    <t>贺春梅</t>
  </si>
  <si>
    <t>沈晓华</t>
  </si>
  <si>
    <t>2024.11.4</t>
  </si>
  <si>
    <t>李建平</t>
  </si>
  <si>
    <t>2024.11.2</t>
  </si>
  <si>
    <t>文婧</t>
  </si>
  <si>
    <t>许仙社</t>
  </si>
  <si>
    <t>王开林</t>
  </si>
  <si>
    <t>魏少梅</t>
  </si>
  <si>
    <t>2024.12.14</t>
  </si>
  <si>
    <t>从1月1日开始4间小教室（50元/间），3间大教室（100元/间），共计500元</t>
  </si>
  <si>
    <t>郑世杰</t>
  </si>
  <si>
    <t>2024.12.6</t>
  </si>
  <si>
    <t>张云</t>
  </si>
  <si>
    <t>2024.12.17</t>
  </si>
  <si>
    <t>4间小教室（50元/间）共计200元</t>
  </si>
  <si>
    <t>杨贵秀</t>
  </si>
  <si>
    <t>陈丽霞</t>
  </si>
  <si>
    <t>每月代班费200元，4月代班费未发计入5月工资中
从12月1日开始6间教室（50元/间），共计300元
5月计发：200+200+300=700元</t>
  </si>
  <si>
    <t>刘萍</t>
  </si>
  <si>
    <t>从12月1日开始6间教室（50元/间），共计300元</t>
  </si>
  <si>
    <t>张军玲</t>
  </si>
  <si>
    <t xml:space="preserve">王玉玲 </t>
  </si>
  <si>
    <t>2024.12.2</t>
  </si>
  <si>
    <t>吴艳红</t>
  </si>
  <si>
    <t>郭玉合</t>
  </si>
  <si>
    <t>2025.1.30</t>
  </si>
  <si>
    <t>2025.1.25</t>
  </si>
  <si>
    <t>何凤</t>
  </si>
  <si>
    <t>2025.12.30</t>
  </si>
  <si>
    <t>代班费200元</t>
  </si>
  <si>
    <t>施金荣</t>
  </si>
  <si>
    <t>2025年5月17日离职，本月出勤16天</t>
  </si>
  <si>
    <t>周海花</t>
  </si>
  <si>
    <t>2025.1.28</t>
  </si>
  <si>
    <t>刘世华</t>
  </si>
  <si>
    <t>2025.1.3</t>
  </si>
  <si>
    <r>
      <rPr>
        <sz val="10"/>
        <color rgb="FFFF0000"/>
        <rFont val="宋体"/>
        <charset val="134"/>
      </rPr>
      <t>2025年6月1日离职，本月出勤31天</t>
    </r>
    <r>
      <rPr>
        <sz val="10"/>
        <color theme="1"/>
        <rFont val="宋体"/>
        <charset val="134"/>
      </rPr>
      <t xml:space="preserve">
4月未发教室工资：中教室80元×3间=240元，小教室50元×7间=350元，240+350=590元
5月教室：1-20日：中教室80元×3间=240元，小教室50元×7间=350元，240+350=590元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 xml:space="preserve">20=380.64元
5月21-31日：大教室150元×1间=150元，中教室80元×5间=400元，小教室50元×2间=100元
150+400+100=650元÷31×11=230.64元
5月17日教师资格证教室加班0.5天2400÷31×0.5=38.70
5月另计发：590+380.64+230.64+38.7=1239.90元
</t>
    </r>
  </si>
  <si>
    <t xml:space="preserve">2025年6月1日离职，本月出勤31天
4月未发教室工资：中教室80元×3间=240元，小教室50元×7间=350元，240+350=590元
5月教室：1-20日：中教室80元×3间=240元，小教室50元×7间=350元，240+350=590元÷31×20=380.64元
5月21-31日：大教室150元×1间=150元，中教室80元×5间=400元，小教室50元×2间=100元
150+400+100=650元÷31×11=230.64元
5月17日教师资格证教室加班0.5天2400÷31×0.5=38.70
5月另计发：590+380.64+230.64+38.7=1239.90元
</t>
  </si>
  <si>
    <t>李秀梅</t>
  </si>
  <si>
    <r>
      <rPr>
        <sz val="10"/>
        <color theme="1"/>
        <rFont val="宋体"/>
        <charset val="134"/>
      </rPr>
      <t>5间中教室80元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5＝400元</t>
    </r>
  </si>
  <si>
    <t>5间中教室80元×5＝400元</t>
  </si>
  <si>
    <t>刘淑珍</t>
  </si>
  <si>
    <t>2025.2.1</t>
  </si>
  <si>
    <t>王桂云</t>
  </si>
  <si>
    <t>2025.2.7</t>
  </si>
  <si>
    <t>封彩霞</t>
  </si>
  <si>
    <t>2025.2.13</t>
  </si>
  <si>
    <t>柴红</t>
  </si>
  <si>
    <r>
      <rPr>
        <sz val="10"/>
        <color theme="1"/>
        <rFont val="宋体"/>
        <charset val="134"/>
      </rPr>
      <t xml:space="preserve">6间小教室（50元/间）共计300元；
</t>
    </r>
    <r>
      <rPr>
        <sz val="10"/>
        <color rgb="FFFF0000"/>
        <rFont val="宋体"/>
        <charset val="134"/>
      </rPr>
      <t>从4月1日知行楼减1名保洁扩岗工资调整为2800元</t>
    </r>
  </si>
  <si>
    <t>6间小教室（50元/间）共计300元；
从4月1日知行楼减1名保洁扩岗工资调整为2800元</t>
  </si>
  <si>
    <t>薛爱红</t>
  </si>
  <si>
    <t>2025.2.11</t>
  </si>
  <si>
    <t>邓强</t>
  </si>
  <si>
    <t>王天伟</t>
  </si>
  <si>
    <t>陈爱云</t>
  </si>
  <si>
    <t>2025.2.16</t>
  </si>
  <si>
    <t>2025年5月8日离职，本月出勤7天</t>
  </si>
  <si>
    <t>齐德明</t>
  </si>
  <si>
    <t>2025.2.23</t>
  </si>
  <si>
    <t>王慧兰</t>
  </si>
  <si>
    <t>吴爱杰</t>
  </si>
  <si>
    <t>大教室150元×1间=150元，中教室80元×7间=560元
2025年5月另计发工资为：150+560=710元</t>
  </si>
  <si>
    <t>刘红</t>
  </si>
  <si>
    <t>大教室150元×2间=300元，中教室80元×5间=400元，小教室50元×8间=400元
2025年5月另计发工资为：300+400+400=1100元</t>
  </si>
  <si>
    <t>王新平</t>
  </si>
  <si>
    <r>
      <rPr>
        <sz val="10"/>
        <color theme="1"/>
        <rFont val="宋体"/>
        <charset val="134"/>
      </rPr>
      <t>2025年5月18日请假0.5天
中教室80元×14间=1120元，小教室50元1间=50元
2025年5月另计发工资为：1120+50=1170元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30.5=1151.12元</t>
    </r>
  </si>
  <si>
    <t>2025年5月18日请假0.5天
中教室80元×14间=1120元，小教室50元1间=50元
2025年5月另计发工资为：1120+50=1170元÷31×30.5=1151.12元</t>
  </si>
  <si>
    <t>郑兴菊</t>
  </si>
  <si>
    <t>大教室150元×1间=150元，中教室80元×8间=640元
2025年5月另计发工资为：150+640=790元</t>
  </si>
  <si>
    <t>李顺友</t>
  </si>
  <si>
    <r>
      <rPr>
        <sz val="10"/>
        <color theme="1"/>
        <rFont val="宋体"/>
        <charset val="134"/>
      </rPr>
      <t>中教室80元×8间=640元，小教室50元1间=50元
教室另计发工资为：640+50=690元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18=400.64元
2025年5月1-18日2400元计发工资，2025年5月19日从博学楼调岗到17号宿舍楼工资2300元计发</t>
    </r>
  </si>
  <si>
    <t>2400/2300</t>
  </si>
  <si>
    <t>中教室80元×8间=640元，小教室50元1间=50元
教室另计发工资为：640+50=690元÷31×18=400.64元
2025年5月1-18日2400元计发工资，2025年5月19日从博学楼调岗到17号宿舍楼工资2300元计发</t>
  </si>
  <si>
    <t>孙素勤</t>
  </si>
  <si>
    <t>2025.2.12</t>
  </si>
  <si>
    <t>大教室150元×1间=150元，中教室80元×8间=640元
2025年5月另计发工资为：150+640＝790元
2月推荐奖100元</t>
  </si>
  <si>
    <t>刘增兰</t>
  </si>
  <si>
    <t>大教室150元×1间=150元，中教室80元×7间=560元
2025年7月另计发工资为：150+560＝710元</t>
  </si>
  <si>
    <t>许桂芳</t>
  </si>
  <si>
    <t>大教室150元×1间=150元，中教室80元×6间=480元，小教室50元×9间=450元
2025年5月另计发工资为：150+480+450＝1080元</t>
  </si>
  <si>
    <t>朱德福</t>
  </si>
  <si>
    <t>大教室150元×1间=150元，中教室80元×6间=480元，小教室50元×9间=450元
2025年5月另计发工资为：150+480+450=1080元</t>
  </si>
  <si>
    <t>潘玉忠</t>
  </si>
  <si>
    <t>中教室80元×9间=720元
2025年4月另计发工资为：720元</t>
  </si>
  <si>
    <t>田泽付</t>
  </si>
  <si>
    <t>202.2.14</t>
  </si>
  <si>
    <t>扣除4月带班费200元</t>
  </si>
  <si>
    <t>钟胜元</t>
  </si>
  <si>
    <t>大教室150元×1间=150元，中教室80元×7间=560元
2025年5月另计发工资为：710元</t>
  </si>
  <si>
    <t>张晓梅</t>
  </si>
  <si>
    <t>中教室80元×5间=400元
2025年5月另计发工资为：400元；迟到5分钟</t>
  </si>
  <si>
    <t>马英</t>
  </si>
  <si>
    <t>2025.2.17</t>
  </si>
  <si>
    <t>中教室80元×6间=480元，小教室50元×1间=50元
2025年5月另计发工资为：480+50＝530元；迟到5分钟；</t>
  </si>
  <si>
    <t>张华</t>
  </si>
  <si>
    <t>中教室80元×3间=240元，小教室50元×8间=400元
2025年5月另计发工资为：240+400＝640元</t>
  </si>
  <si>
    <t>周军</t>
  </si>
  <si>
    <t>中教室80元×1间=80元，小教室50元×5间=250元
2025年5月另计发工资为：80+250=330元</t>
  </si>
  <si>
    <t>温玉芝</t>
  </si>
  <si>
    <t>大教室150元×1间=150元，中教室80元×8间=640元
2025年5月另计发工资为：150+640=790元
2月推荐奖100元</t>
  </si>
  <si>
    <t>吴海梅</t>
  </si>
  <si>
    <t>2025.3.12</t>
  </si>
  <si>
    <t>陈月英</t>
  </si>
  <si>
    <t>2025.3.28</t>
  </si>
  <si>
    <t>袁萍</t>
  </si>
  <si>
    <t>2025.3.8</t>
  </si>
  <si>
    <r>
      <rPr>
        <sz val="10"/>
        <color theme="1"/>
        <rFont val="宋体"/>
        <charset val="134"/>
      </rPr>
      <t>2025年21-23日扩岗3天：1700÷31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3=164.51元</t>
    </r>
  </si>
  <si>
    <t>2025年21-23日扩岗3天：1700÷31×3=164.51元</t>
  </si>
  <si>
    <t>2025.3.2</t>
  </si>
  <si>
    <t>魏秋凤</t>
  </si>
  <si>
    <t>南区调入</t>
  </si>
  <si>
    <t>2800/1700</t>
  </si>
  <si>
    <t>/南区调入</t>
  </si>
  <si>
    <t>陈秀芳</t>
  </si>
  <si>
    <t>马翠英</t>
  </si>
  <si>
    <t>杨金玲</t>
  </si>
  <si>
    <t>2025.3.3</t>
  </si>
  <si>
    <t>温玉萍</t>
  </si>
  <si>
    <t>新北区调入</t>
  </si>
  <si>
    <t>/新北区调入</t>
  </si>
  <si>
    <t>李俊</t>
  </si>
  <si>
    <t>方兰银</t>
  </si>
  <si>
    <t>2025年4月2日入职，3间大教室（100元/间）共计300元</t>
  </si>
  <si>
    <t>史小平</t>
  </si>
  <si>
    <t>何蝶英</t>
  </si>
  <si>
    <t>2025.4.15</t>
  </si>
  <si>
    <t>袁卫红</t>
  </si>
  <si>
    <t>2025.4.11</t>
  </si>
  <si>
    <t>张宏邦</t>
  </si>
  <si>
    <t>2025.4.7</t>
  </si>
  <si>
    <t>冯保红</t>
  </si>
  <si>
    <t>2025.4.19</t>
  </si>
  <si>
    <t>李春红</t>
  </si>
  <si>
    <t>2025.4.24</t>
  </si>
  <si>
    <t>马玉珍</t>
  </si>
  <si>
    <t>林红</t>
  </si>
  <si>
    <t xml:space="preserve">中教室80元×8间=640元，小教室50元1间=50元
2025年5月19-31日教室另计发工资为：640+50=690元÷31×13=289.35元
</t>
  </si>
  <si>
    <t>岑爱君</t>
  </si>
  <si>
    <t>5月8号调整到中区科技馆</t>
  </si>
  <si>
    <t>5月8号调整到中区科技馆南区调入</t>
  </si>
  <si>
    <t>祁秀玲</t>
  </si>
  <si>
    <t>2025.4.28</t>
  </si>
  <si>
    <r>
      <rPr>
        <sz val="10"/>
        <color theme="1"/>
        <rFont val="宋体"/>
        <charset val="134"/>
      </rPr>
      <t>2025年4月28日入职，4月3天工资计入5月工资中，5月按出勤31天
5月另计发：1600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3=160元</t>
    </r>
  </si>
  <si>
    <t>2025年4月28日入职，4月3天工资计入5月工资中，5月按出勤31天
5月另计发：1600÷30×3=160元</t>
  </si>
  <si>
    <t>肖红霞</t>
  </si>
  <si>
    <t>2025.5.23</t>
  </si>
  <si>
    <t>2025年5月23日入职</t>
  </si>
  <si>
    <t>吴玲智</t>
  </si>
  <si>
    <t>2025年5月15日入职</t>
  </si>
  <si>
    <t>鲁燕</t>
  </si>
  <si>
    <t>2025.5.17</t>
  </si>
  <si>
    <t>2025年5月17日入职</t>
  </si>
  <si>
    <t>宁海霞</t>
  </si>
  <si>
    <t>2025.5.14</t>
  </si>
  <si>
    <t>2025年5月14日入职</t>
  </si>
  <si>
    <t>朱李平</t>
  </si>
  <si>
    <t>李雪娣</t>
  </si>
  <si>
    <t>2025.5.21</t>
  </si>
  <si>
    <t>2025年5月21日入职</t>
  </si>
  <si>
    <t>赵云兰</t>
  </si>
  <si>
    <t>余思兰</t>
  </si>
  <si>
    <t>2025.5.16</t>
  </si>
  <si>
    <t>2025年5月16日入职</t>
  </si>
  <si>
    <t>李小珍</t>
  </si>
  <si>
    <t>2025.5.28</t>
  </si>
  <si>
    <t>2025年5月28日入职</t>
  </si>
  <si>
    <t>徐典寿</t>
  </si>
  <si>
    <t>吉连元</t>
  </si>
  <si>
    <t>2025.4.29</t>
  </si>
  <si>
    <r>
      <rPr>
        <sz val="10"/>
        <color theme="1"/>
        <rFont val="宋体"/>
        <charset val="134"/>
      </rPr>
      <t>2025年4月29日入职，4月2天工资未发，计入5月工资中2300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2＝153.33
2025年5月14日离职，本月出勤13天</t>
    </r>
  </si>
  <si>
    <t>2025年4月29日入职，4月2天工资未发，计入5月工资中2300÷30×2＝153.33
2025年5月14日离职，本月出勤13天</t>
  </si>
  <si>
    <t>姜腊梅</t>
  </si>
  <si>
    <t>2025年5月16日入职，2025年5月26日离职，本月出勤10天</t>
  </si>
  <si>
    <t>廖淑琼</t>
  </si>
  <si>
    <t>2025.4.8</t>
  </si>
  <si>
    <t>2025年4月8日-18日出勤11天，4月考勤未打工资未发放，于4月19日离职；计入5月工资中2300÷30×11=843.33元</t>
  </si>
  <si>
    <t>王红燕</t>
  </si>
  <si>
    <t>2025年5月20日入职，5月31日离职，本月出勤11天</t>
  </si>
  <si>
    <t>（管理人员石河子发，其他新疆公司发）</t>
  </si>
  <si>
    <t>出勤班数</t>
  </si>
  <si>
    <t>新疆大学绿化5月工资表</t>
  </si>
  <si>
    <t>徐成鑫</t>
  </si>
  <si>
    <t>于5月1日转正</t>
  </si>
  <si>
    <t>窦伟</t>
  </si>
  <si>
    <t>绿化工</t>
  </si>
  <si>
    <t>于5月22日入职</t>
  </si>
  <si>
    <t>穆丽德尔·巴合提汉</t>
  </si>
  <si>
    <t>于5月11日离职；出勤10个班，请假1个班（10日）</t>
  </si>
  <si>
    <t>艾买力亚提·赛克</t>
  </si>
  <si>
    <t>请假1个班（20日）</t>
  </si>
  <si>
    <t>车费补贴满勤1258.06</t>
  </si>
  <si>
    <t>请假1个班（20日）车费补贴满勤1258.06</t>
  </si>
  <si>
    <t>托合提·阿木冬</t>
  </si>
  <si>
    <t>于5月8日离职，余休1个班发计在5月的工资里</t>
  </si>
  <si>
    <t>骆新全</t>
  </si>
  <si>
    <t>请假1个班（30日）</t>
  </si>
  <si>
    <t>车费补贴1000/31*13=419.35元（于5月14日开始停止车补）</t>
  </si>
  <si>
    <t>请假1个班（30日）车费补贴1000/31*13=419.35元（于5月14日开始停止车补）</t>
  </si>
  <si>
    <t>马西叶</t>
  </si>
  <si>
    <t>补休1个班5月21日</t>
  </si>
  <si>
    <t>车费补贴满勤1300元</t>
  </si>
  <si>
    <t>补休1个班5月21日车费补贴满勤1300元</t>
  </si>
  <si>
    <t>图柯孜·塔吉</t>
  </si>
  <si>
    <t>于5月11日离职；出勤10个班</t>
  </si>
  <si>
    <t>阿娜尔古丽·赛提汗</t>
  </si>
  <si>
    <t>于5月14日离职；出勤13个班</t>
  </si>
  <si>
    <t>巴合提汗·沙合提</t>
  </si>
  <si>
    <t>于5月15日离职；出勤14个班</t>
  </si>
  <si>
    <t>努尔巴合提·胡马什</t>
  </si>
  <si>
    <t>余休1个班（10日）</t>
  </si>
  <si>
    <t>艾日肯·阿合买提见</t>
  </si>
  <si>
    <t>阿依佳·巴合达特</t>
  </si>
  <si>
    <t>张启林</t>
  </si>
  <si>
    <t>补休1个班5月31日</t>
  </si>
  <si>
    <t>张启刚</t>
  </si>
  <si>
    <t>洒水车司机</t>
  </si>
  <si>
    <t>满勤车费补贴1400元；5月起岗位调整，工资调为4500元；</t>
  </si>
  <si>
    <t>补休1个班5月31日满勤车费补贴1400元；5月起岗位调整，工资调为4500元；</t>
  </si>
  <si>
    <t>艾山·艾依提</t>
  </si>
  <si>
    <t>其曼古丽·依明</t>
  </si>
  <si>
    <t>于5月18日离职；出勤17个班</t>
  </si>
  <si>
    <t>马喜来</t>
  </si>
  <si>
    <t>李玉霞</t>
  </si>
  <si>
    <t>于5月8日离职；出勤7个班，补休1个班（1日）</t>
  </si>
  <si>
    <t>黄三女</t>
  </si>
  <si>
    <t>余休1个班（10日）；补休1个班（5月1日）</t>
  </si>
  <si>
    <t>马丽娜</t>
  </si>
  <si>
    <t>余休1个班（10日）补休1个班（5月1日）</t>
  </si>
  <si>
    <t>秦贵</t>
  </si>
  <si>
    <t>余休1个班（10日）（补休1个班5月1日）</t>
  </si>
  <si>
    <t>满勤车费补贴4160元</t>
  </si>
  <si>
    <t>余休1个班（10日）（补休1个班5月1日）满勤车费补贴4160元</t>
  </si>
  <si>
    <t>司秀萍</t>
  </si>
  <si>
    <t>杨淑花</t>
  </si>
  <si>
    <t>补休1个班（16日）</t>
  </si>
  <si>
    <t>陈菊花</t>
  </si>
  <si>
    <t>周银莲</t>
  </si>
  <si>
    <t>于5月12日离职，出勤11个班；余休1个班计发在5月工资中；</t>
  </si>
  <si>
    <t>田文兰</t>
  </si>
  <si>
    <t>肉孜乌东·吐尔地</t>
  </si>
  <si>
    <t>补休1个班（2日），于5月15日离职，出勤14个班</t>
  </si>
  <si>
    <t>车费补贴500/31*14=225.80元</t>
  </si>
  <si>
    <t>补休1个班（2日），于5月15日离职，出勤14个班车费补贴500/31*14=225.80元</t>
  </si>
  <si>
    <t>蔡建萍</t>
  </si>
  <si>
    <t>洒水车跟车</t>
  </si>
  <si>
    <t>补休2个班（1日、31日），5月余休1个班（11日）</t>
  </si>
  <si>
    <t>5月起岗位调整，工资调为3800元；</t>
  </si>
  <si>
    <t>补休2个班（1日、31日），5月余休1个班（11日）5月起岗位调整，工资调为3800元；</t>
  </si>
  <si>
    <t>黄耐拜</t>
  </si>
  <si>
    <t>5月请假1个班（21日）</t>
  </si>
  <si>
    <t>寇亚蓉</t>
  </si>
  <si>
    <t>麦合木提·亚库甫</t>
  </si>
  <si>
    <t>1</t>
  </si>
  <si>
    <t>5月余休1个班（10日）</t>
  </si>
  <si>
    <t>李生军</t>
  </si>
  <si>
    <t>达尼亚尔·木塔勒</t>
  </si>
  <si>
    <t>于5月10日离职，出勤9个班；余休1个班计发在5月工资中；</t>
  </si>
  <si>
    <t>马朝亮</t>
  </si>
  <si>
    <t>6月1日离职</t>
  </si>
  <si>
    <t>肯加古力·吐开</t>
  </si>
  <si>
    <t>外部司机</t>
  </si>
  <si>
    <t>4月27日入职；4月出勤4个班（27-30日）计发在5月工资中；</t>
  </si>
  <si>
    <t>唐忠</t>
  </si>
  <si>
    <t>于5月19日入职，请假1个班（31日）</t>
  </si>
  <si>
    <t>王燕</t>
  </si>
  <si>
    <t>于5月7日入职，</t>
  </si>
  <si>
    <t>马秀兰</t>
  </si>
  <si>
    <t>于5月7日入职，余休1个班（10日）</t>
  </si>
  <si>
    <t>马晓英</t>
  </si>
  <si>
    <t>马跃林</t>
  </si>
  <si>
    <t>马彦荣</t>
  </si>
  <si>
    <t>马召民</t>
  </si>
  <si>
    <t>车费补贴4160元</t>
  </si>
  <si>
    <t>于5月7日入职，余休1个班（10日）车费补贴4160元</t>
  </si>
  <si>
    <t>马学梅</t>
  </si>
  <si>
    <t>杨文军</t>
  </si>
  <si>
    <t>余休2个班（11日、18日、）</t>
  </si>
  <si>
    <t>昌吉学院调入</t>
  </si>
  <si>
    <t>余休2个班（11日、18日、）昌吉学院调入</t>
  </si>
  <si>
    <t>缐福贵</t>
  </si>
  <si>
    <t>张金星</t>
  </si>
  <si>
    <t>于5月13日入职，余休1个班（19日）</t>
  </si>
  <si>
    <t xml:space="preserve">                                               师专教育学院5月工资表</t>
  </si>
  <si>
    <t>雷伟华</t>
  </si>
  <si>
    <t>宣传使者补贴220元</t>
  </si>
  <si>
    <t>宣传使者补贴220元；新疆公司发</t>
  </si>
  <si>
    <t>阿山别克·哈了太</t>
  </si>
  <si>
    <t>保安班长</t>
  </si>
  <si>
    <t>于4月1日入职</t>
  </si>
  <si>
    <t>阿宁吾尔·托力干</t>
  </si>
  <si>
    <t>保安</t>
  </si>
  <si>
    <t>托合塔尔别克·胡泉</t>
  </si>
  <si>
    <t>库安德克·克孜木拉</t>
  </si>
  <si>
    <t xml:space="preserve">胡小林  </t>
  </si>
  <si>
    <t>五月份工资调整
为4200</t>
  </si>
  <si>
    <t>于4月1日入职五月份工资调整
为4200</t>
  </si>
  <si>
    <t xml:space="preserve">玉素甫汉·乔汗 </t>
  </si>
  <si>
    <t>4月1日入职，5月19离职，出勤18个班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</si>
  <si>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</si>
  <si>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</si>
  <si>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</si>
  <si>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</si>
  <si>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</si>
  <si>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</si>
  <si>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</si>
  <si>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>于4月1日入职,工资先不发</t>
  </si>
  <si>
    <t xml:space="preserve">张惠英  </t>
  </si>
  <si>
    <t>于4月1日入职，5月26离职，出勤25个班</t>
  </si>
  <si>
    <t>波拉提别克·卡克巴提</t>
  </si>
  <si>
    <t>陈顺林</t>
  </si>
  <si>
    <t>于4月29日入职</t>
  </si>
  <si>
    <t>5.1转正工资3900</t>
  </si>
  <si>
    <t>于4月29日入职；5.1转正工资3900</t>
  </si>
  <si>
    <t>沙哈都拉</t>
  </si>
  <si>
    <t>于4月27日入职</t>
  </si>
  <si>
    <t>于4月27日入职；5.1转正工资3900</t>
  </si>
  <si>
    <t>也尔肯·阿合恰白</t>
  </si>
  <si>
    <t>于4月23日入职</t>
  </si>
  <si>
    <t>于4月23日入职；5.1转正工资3900</t>
  </si>
  <si>
    <t>阿衣夏木·卡哈尔</t>
  </si>
  <si>
    <t>木克热木·托合孙</t>
  </si>
  <si>
    <t>于4月1日入职，5月14离职，出勤13个班</t>
  </si>
  <si>
    <t>依那木·艾拉</t>
  </si>
  <si>
    <t>买买提·吾甫</t>
  </si>
  <si>
    <t>5.1转为保安队长
带班费200</t>
  </si>
  <si>
    <t>于4月1日入职5.1转为保安队长
带班费200</t>
  </si>
  <si>
    <t>阿卜杜热伊木江·伊卜拉伊木</t>
  </si>
  <si>
    <t>玉素甫·阿不都热依木</t>
  </si>
  <si>
    <t>买提尼亚提·英赛干</t>
  </si>
  <si>
    <t>李成富</t>
  </si>
  <si>
    <t>于4月17日入职</t>
  </si>
  <si>
    <t>吴康林</t>
  </si>
  <si>
    <t>4月17日入职；于2025年4月28日离职，出勤11个班，上月漏发</t>
  </si>
  <si>
    <t>马文义</t>
  </si>
  <si>
    <t>马琴花</t>
  </si>
  <si>
    <t>于4月23日入职,5月7日离职，出勤6个班</t>
  </si>
  <si>
    <t xml:space="preserve">冶秀玲 </t>
  </si>
  <si>
    <t>王凡凡</t>
  </si>
  <si>
    <t>热依姆古丽·图尔贡</t>
  </si>
  <si>
    <t xml:space="preserve">保安 </t>
  </si>
  <si>
    <t>于4月26日入职</t>
  </si>
  <si>
    <t>热夏提·阿伊克木</t>
  </si>
  <si>
    <t>于4月29日入职；5月1日工资调为3600元/月</t>
  </si>
  <si>
    <t>户江洋</t>
  </si>
  <si>
    <t>于5月21日入职，出勤11个班</t>
  </si>
  <si>
    <t>邹陆东</t>
  </si>
  <si>
    <t>于5月20日入职，出勤12个班</t>
  </si>
  <si>
    <t>杨海林</t>
  </si>
  <si>
    <t>于5月30日入职，出勤2个班</t>
  </si>
  <si>
    <t>陈良兴</t>
  </si>
  <si>
    <t>于5月1日入职</t>
  </si>
  <si>
    <t>库来西·肉孜</t>
  </si>
  <si>
    <t>卢云侠</t>
  </si>
  <si>
    <t>于5月19日入职，出勤13个班</t>
  </si>
  <si>
    <t>白秀英</t>
  </si>
  <si>
    <t>于4月1日入职，5月14日离职，出勤13个班</t>
  </si>
  <si>
    <t>穆沙江·麦麦提明</t>
  </si>
  <si>
    <t>于5月23日入职，出勤9个班</t>
  </si>
  <si>
    <t>何 刚</t>
  </si>
  <si>
    <t>于5月7日入职，出勤25个班</t>
  </si>
  <si>
    <t>韩国林</t>
  </si>
  <si>
    <t>于5月9日入职,5月28日离职，出勤19个班</t>
  </si>
  <si>
    <t>马金虎</t>
  </si>
  <si>
    <t>于5月20日入职，,5月31日离职，出勤11个班</t>
  </si>
  <si>
    <t>总工会工资表5月工资表</t>
  </si>
  <si>
    <t>公积金扣款</t>
  </si>
  <si>
    <t>沈国良</t>
  </si>
  <si>
    <t>余休6个班（1日，2日，10日，17日，24日，31日）</t>
  </si>
  <si>
    <t>新疆支援31个班补贴1550元；</t>
  </si>
  <si>
    <t>云南支援新疆，补贴50/天，本月共31天，总工会出勤31天</t>
  </si>
  <si>
    <t>孙都喜</t>
  </si>
  <si>
    <t>吕庆威</t>
  </si>
  <si>
    <t>赵勇</t>
  </si>
  <si>
    <t>专职司机每月补贴400</t>
  </si>
  <si>
    <t>刘虎田</t>
  </si>
  <si>
    <t>社保发到个人，所以不扣社保</t>
  </si>
  <si>
    <t>荆磊</t>
  </si>
  <si>
    <t>朱长文</t>
  </si>
  <si>
    <t>1号入职，23日离职，请病假18天（5号-22号），出勤22个班</t>
  </si>
  <si>
    <t>米新</t>
  </si>
  <si>
    <t>李养社</t>
  </si>
  <si>
    <t>5月15日入职，上班17天</t>
  </si>
  <si>
    <t>郑建梅</t>
  </si>
  <si>
    <t>美热班·艾拜都</t>
  </si>
  <si>
    <t>马桂菊</t>
  </si>
  <si>
    <t>钱继忠</t>
  </si>
  <si>
    <t>卡玛丽汗·热肯巴依</t>
  </si>
  <si>
    <t>杨江平</t>
  </si>
  <si>
    <t>5月19日请假至31日，共请假13天</t>
  </si>
  <si>
    <t>杨俊建</t>
  </si>
  <si>
    <t>5月2日入职，5月14日离职，正常上班12天</t>
  </si>
  <si>
    <t>就餐4天，15/天，扣款60；</t>
  </si>
  <si>
    <t>刘晓东</t>
  </si>
  <si>
    <t>5月12日入职，正常上班20</t>
  </si>
  <si>
    <t>张有锋</t>
  </si>
  <si>
    <t>6月1日离职，出勤31个班</t>
  </si>
  <si>
    <t>李军</t>
  </si>
  <si>
    <t>5月26日入职，正常上班6天</t>
  </si>
  <si>
    <t>帕尔哈提·玉素甫</t>
  </si>
  <si>
    <t>5月26日入职，6月1日离职，正常上班6天</t>
  </si>
  <si>
    <t>西尔艾力·依米提</t>
  </si>
  <si>
    <t>5月17日入职，6月1日离职，正常上班15天</t>
  </si>
  <si>
    <t>就餐5天，15/天，扣款75；提前发放</t>
  </si>
  <si>
    <t>此笔工资费用已经结清不再计发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</si>
</sst>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yyyy/m/d;@"/>
  </numFmts>
  <fonts count="109">
    <font>
      <sz val="12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color theme="1"/>
      <name val="仿宋"/>
      <charset val="134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宋体"/>
      <charset val="134"/>
    </font>
    <font>
      <b/>
      <sz val="9"/>
      <color indexed="8"/>
      <name val="宋体"/>
      <charset val="134"/>
    </font>
    <font>
      <sz val="11"/>
      <name val="等线 Light"/>
      <charset val="134"/>
      <scheme val="major"/>
    </font>
    <font>
      <sz val="11"/>
      <color rgb="FF000000"/>
      <name val="宋体"/>
      <charset val="134"/>
    </font>
    <font>
      <sz val="9"/>
      <color rgb="FF000000"/>
      <name val="等线"/>
      <charset val="134"/>
      <scheme val="minor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9"/>
      <color theme="1"/>
      <name val="宋体"/>
      <charset val="134"/>
    </font>
    <font>
      <sz val="10"/>
      <color rgb="FF00B05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7030A0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7030A0"/>
      <name val="宋体"/>
      <charset val="134"/>
    </font>
    <font>
      <sz val="11"/>
      <color rgb="FF00B050"/>
      <name val="等线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2"/>
      <color theme="1"/>
      <name val="宋体"/>
      <charset val="134"/>
    </font>
    <font>
      <sz val="12"/>
      <name val="等线 Light"/>
      <charset val="134"/>
      <scheme val="major"/>
    </font>
    <font>
      <sz val="12"/>
      <color theme="1"/>
      <name val="等线 Light"/>
      <charset val="134"/>
      <scheme val="major"/>
    </font>
    <font>
      <sz val="8"/>
      <color indexed="8"/>
      <name val="宋体"/>
      <charset val="134"/>
    </font>
    <font>
      <sz val="8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等线"/>
      <charset val="134"/>
      <scheme val="minor"/>
    </font>
    <font>
      <b/>
      <sz val="8"/>
      <color rgb="FF000000"/>
      <name val="等线"/>
      <charset val="134"/>
      <scheme val="minor"/>
    </font>
    <font>
      <b/>
      <sz val="8"/>
      <color rgb="FFFF0000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8"/>
      <color rgb="FFFF0000"/>
      <name val="等线"/>
      <charset val="134"/>
      <scheme val="minor"/>
    </font>
    <font>
      <sz val="11"/>
      <color rgb="FF000000"/>
      <name val="楷体"/>
      <charset val="134"/>
    </font>
    <font>
      <sz val="12"/>
      <color rgb="FF000000"/>
      <name val="Microsoft YaHei"/>
      <charset val="134"/>
    </font>
    <font>
      <sz val="12"/>
      <color rgb="FF242424"/>
      <name val="宋体"/>
      <charset val="134"/>
    </font>
    <font>
      <sz val="11"/>
      <color rgb="FF242424"/>
      <name val="宋体"/>
      <charset val="134"/>
    </font>
    <font>
      <sz val="11"/>
      <color rgb="FF242424"/>
      <name val="楷体"/>
      <charset val="134"/>
    </font>
    <font>
      <sz val="12"/>
      <color rgb="FF242424"/>
      <name val="Microsoft YaHei"/>
      <charset val="134"/>
    </font>
    <font>
      <sz val="9"/>
      <color theme="1"/>
      <name val="宋体"/>
      <charset val="134"/>
    </font>
    <font>
      <sz val="11"/>
      <color theme="9"/>
      <name val="等线"/>
      <charset val="134"/>
      <scheme val="minor"/>
    </font>
    <font>
      <b/>
      <sz val="11"/>
      <name val="宋体"/>
      <charset val="134"/>
    </font>
    <font>
      <sz val="1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8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8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8" fillId="18" borderId="21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19" borderId="24" applyNumberFormat="0" applyAlignment="0" applyProtection="0">
      <alignment vertical="center"/>
    </xf>
    <xf numFmtId="0" fontId="92" fillId="20" borderId="25" applyNumberFormat="0" applyAlignment="0" applyProtection="0">
      <alignment vertical="center"/>
    </xf>
    <xf numFmtId="0" fontId="93" fillId="20" borderId="24" applyNumberFormat="0" applyAlignment="0" applyProtection="0">
      <alignment vertical="center"/>
    </xf>
    <xf numFmtId="0" fontId="94" fillId="21" borderId="26" applyNumberFormat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7" fillId="22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99" fillId="24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0" fillId="36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8" borderId="0" applyNumberFormat="0" applyBorder="0" applyAlignment="0" applyProtection="0">
      <alignment vertical="center"/>
    </xf>
    <xf numFmtId="0" fontId="100" fillId="39" borderId="0" applyNumberFormat="0" applyBorder="0" applyAlignment="0" applyProtection="0">
      <alignment vertical="center"/>
    </xf>
    <xf numFmtId="0" fontId="100" fillId="40" borderId="0" applyNumberFormat="0" applyBorder="0" applyAlignment="0" applyProtection="0">
      <alignment vertical="center"/>
    </xf>
    <xf numFmtId="0" fontId="101" fillId="41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0" fontId="100" fillId="43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01" fillId="45" borderId="0" applyNumberFormat="0" applyBorder="0" applyAlignment="0" applyProtection="0">
      <alignment vertical="center"/>
    </xf>
    <xf numFmtId="0" fontId="101" fillId="46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68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14" fillId="2" borderId="1" xfId="52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3" fontId="12" fillId="2" borderId="1" xfId="0" applyNumberFormat="1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/>
    </xf>
    <xf numFmtId="0" fontId="14" fillId="4" borderId="1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3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52" applyFont="1" applyFill="1" applyBorder="1" applyAlignment="1">
      <alignment horizontal="center" vertical="center" wrapText="1"/>
    </xf>
    <xf numFmtId="14" fontId="15" fillId="2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 wrapText="1"/>
    </xf>
    <xf numFmtId="176" fontId="4" fillId="3" borderId="0" xfId="0" applyNumberFormat="1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17" fillId="0" borderId="2" xfId="50" applyNumberFormat="1" applyFont="1" applyFill="1" applyBorder="1" applyAlignment="1">
      <alignment horizontal="center" vertical="center" wrapText="1"/>
    </xf>
    <xf numFmtId="176" fontId="17" fillId="0" borderId="1" xfId="54" applyNumberFormat="1" applyFont="1" applyFill="1" applyBorder="1" applyAlignment="1">
      <alignment horizontal="center" vertical="center" wrapText="1"/>
    </xf>
    <xf numFmtId="176" fontId="17" fillId="0" borderId="3" xfId="50" applyNumberFormat="1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/>
    </xf>
    <xf numFmtId="43" fontId="20" fillId="2" borderId="1" xfId="0" applyNumberFormat="1" applyFont="1" applyFill="1" applyBorder="1" applyAlignment="1" applyProtection="1">
      <alignment horizontal="center" vertical="center" wrapText="1"/>
    </xf>
    <xf numFmtId="43" fontId="21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43" fontId="22" fillId="2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7" fillId="6" borderId="1" xfId="50" applyNumberFormat="1" applyFont="1" applyFill="1" applyBorder="1" applyAlignment="1">
      <alignment horizontal="center" vertical="center" wrapText="1"/>
    </xf>
    <xf numFmtId="176" fontId="17" fillId="0" borderId="2" xfId="54" applyNumberFormat="1" applyFont="1" applyFill="1" applyBorder="1" applyAlignment="1">
      <alignment horizontal="center" vertical="center" wrapText="1"/>
    </xf>
    <xf numFmtId="176" fontId="17" fillId="0" borderId="3" xfId="54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7" fillId="6" borderId="1" xfId="54" applyNumberFormat="1" applyFont="1" applyFill="1" applyBorder="1" applyAlignment="1">
      <alignment horizontal="center" vertical="center" wrapText="1"/>
    </xf>
    <xf numFmtId="176" fontId="17" fillId="6" borderId="2" xfId="51" applyNumberFormat="1" applyFont="1" applyFill="1" applyBorder="1" applyAlignment="1">
      <alignment horizontal="center" vertical="center" wrapText="1"/>
    </xf>
    <xf numFmtId="176" fontId="17" fillId="0" borderId="2" xfId="51" applyNumberFormat="1" applyFont="1" applyFill="1" applyBorder="1" applyAlignment="1">
      <alignment horizontal="center" vertical="center" wrapText="1"/>
    </xf>
    <xf numFmtId="43" fontId="17" fillId="6" borderId="2" xfId="54" applyNumberFormat="1" applyFont="1" applyFill="1" applyBorder="1" applyAlignment="1">
      <alignment horizontal="center" vertical="center" wrapText="1"/>
    </xf>
    <xf numFmtId="176" fontId="17" fillId="6" borderId="3" xfId="51" applyNumberFormat="1" applyFont="1" applyFill="1" applyBorder="1" applyAlignment="1">
      <alignment horizontal="center" vertical="center" wrapText="1"/>
    </xf>
    <xf numFmtId="176" fontId="17" fillId="0" borderId="3" xfId="51" applyNumberFormat="1" applyFont="1" applyFill="1" applyBorder="1" applyAlignment="1">
      <alignment horizontal="center" vertical="center" wrapText="1"/>
    </xf>
    <xf numFmtId="43" fontId="17" fillId="6" borderId="3" xfId="54" applyNumberFormat="1" applyFont="1" applyFill="1" applyBorder="1" applyAlignment="1">
      <alignment horizontal="center" vertical="center" wrapText="1"/>
    </xf>
    <xf numFmtId="43" fontId="10" fillId="0" borderId="3" xfId="54" applyNumberFormat="1" applyFont="1" applyFill="1" applyBorder="1" applyAlignment="1">
      <alignment horizontal="center" vertical="center" wrapText="1"/>
    </xf>
    <xf numFmtId="43" fontId="10" fillId="0" borderId="1" xfId="54" applyNumberFormat="1" applyFont="1" applyFill="1" applyBorder="1" applyAlignment="1">
      <alignment horizontal="center" vertical="center" wrapText="1"/>
    </xf>
    <xf numFmtId="43" fontId="10" fillId="2" borderId="1" xfId="54" applyNumberFormat="1" applyFont="1" applyFill="1" applyBorder="1" applyAlignment="1">
      <alignment horizontal="center" vertical="center" wrapText="1"/>
    </xf>
    <xf numFmtId="43" fontId="10" fillId="2" borderId="3" xfId="54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3" fontId="1" fillId="3" borderId="0" xfId="0" applyNumberFormat="1" applyFont="1" applyFill="1" applyAlignment="1">
      <alignment horizontal="center" vertical="center" wrapText="1"/>
    </xf>
    <xf numFmtId="176" fontId="17" fillId="6" borderId="2" xfId="54" applyNumberFormat="1" applyFont="1" applyFill="1" applyBorder="1" applyAlignment="1">
      <alignment horizontal="center" vertical="center" wrapText="1"/>
    </xf>
    <xf numFmtId="176" fontId="17" fillId="6" borderId="3" xfId="54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4" fillId="0" borderId="1" xfId="0" applyNumberFormat="1" applyFont="1" applyFill="1" applyBorder="1" applyAlignment="1" applyProtection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4" fillId="2" borderId="1" xfId="0" applyNumberFormat="1" applyFont="1" applyFill="1" applyBorder="1" applyAlignment="1" applyProtection="1">
      <alignment horizontal="center" vertical="center" wrapText="1"/>
    </xf>
    <xf numFmtId="43" fontId="4" fillId="7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43" fontId="4" fillId="8" borderId="1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>
      <alignment vertical="center"/>
    </xf>
    <xf numFmtId="176" fontId="25" fillId="0" borderId="1" xfId="0" applyNumberFormat="1" applyFont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6" fontId="25" fillId="0" borderId="0" xfId="0" applyNumberFormat="1" applyFont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6" fontId="27" fillId="0" borderId="0" xfId="0" applyNumberFormat="1" applyFont="1" applyAlignment="1">
      <alignment vertical="center" wrapText="1"/>
    </xf>
    <xf numFmtId="176" fontId="28" fillId="9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29" fillId="0" borderId="1" xfId="0" applyNumberFormat="1" applyFont="1" applyBorder="1" applyAlignment="1" applyProtection="1">
      <alignment horizontal="center" vertical="center" wrapText="1"/>
    </xf>
    <xf numFmtId="177" fontId="29" fillId="0" borderId="1" xfId="0" applyNumberFormat="1" applyFont="1" applyBorder="1" applyAlignment="1" applyProtection="1">
      <alignment horizontal="center" vertical="center" wrapText="1"/>
    </xf>
    <xf numFmtId="176" fontId="28" fillId="0" borderId="1" xfId="0" applyNumberFormat="1" applyFont="1" applyBorder="1" applyAlignment="1" applyProtection="1">
      <alignment horizontal="center" vertical="center" wrapText="1"/>
    </xf>
    <xf numFmtId="176" fontId="29" fillId="0" borderId="1" xfId="0" applyNumberFormat="1" applyFont="1" applyBorder="1" applyAlignment="1" applyProtection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76" fontId="25" fillId="3" borderId="1" xfId="0" applyNumberFormat="1" applyFont="1" applyFill="1" applyBorder="1" applyAlignment="1" applyProtection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 applyProtection="1">
      <alignment horizontal="center" vertical="center"/>
    </xf>
    <xf numFmtId="43" fontId="27" fillId="9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Border="1" applyProtection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176" fontId="25" fillId="0" borderId="1" xfId="0" applyNumberFormat="1" applyFont="1" applyBorder="1">
      <alignment vertical="center"/>
    </xf>
    <xf numFmtId="0" fontId="26" fillId="5" borderId="1" xfId="0" applyFont="1" applyFill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/>
    </xf>
    <xf numFmtId="176" fontId="25" fillId="2" borderId="1" xfId="0" applyNumberFormat="1" applyFont="1" applyFill="1" applyBorder="1">
      <alignment vertical="center"/>
    </xf>
    <xf numFmtId="176" fontId="25" fillId="0" borderId="5" xfId="0" applyNumberFormat="1" applyFont="1" applyBorder="1" applyAlignment="1">
      <alignment horizontal="distributed" vertical="center"/>
    </xf>
    <xf numFmtId="176" fontId="25" fillId="0" borderId="1" xfId="0" applyNumberFormat="1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vertical="center"/>
    </xf>
    <xf numFmtId="176" fontId="25" fillId="4" borderId="5" xfId="0" applyNumberFormat="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176" fontId="25" fillId="4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/>
    </xf>
    <xf numFmtId="176" fontId="25" fillId="5" borderId="5" xfId="0" applyNumberFormat="1" applyFont="1" applyFill="1" applyBorder="1" applyAlignment="1">
      <alignment horizontal="center" vertical="center"/>
    </xf>
    <xf numFmtId="176" fontId="25" fillId="5" borderId="1" xfId="0" applyNumberFormat="1" applyFont="1" applyFill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4" borderId="5" xfId="0" applyNumberFormat="1" applyFont="1" applyFill="1" applyBorder="1" applyAlignment="1">
      <alignment horizontal="distributed" vertical="center"/>
    </xf>
    <xf numFmtId="176" fontId="29" fillId="9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Border="1" applyAlignment="1" applyProtection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31" fillId="0" borderId="1" xfId="0" applyNumberFormat="1" applyFont="1" applyBorder="1" applyAlignment="1" applyProtection="1">
      <alignment horizontal="center" vertical="center"/>
    </xf>
    <xf numFmtId="0" fontId="31" fillId="9" borderId="1" xfId="0" applyFont="1" applyFill="1" applyBorder="1" applyAlignment="1" applyProtection="1">
      <alignment vertical="center" wrapText="1"/>
    </xf>
    <xf numFmtId="176" fontId="31" fillId="0" borderId="1" xfId="0" applyNumberFormat="1" applyFont="1" applyBorder="1" applyAlignment="1" applyProtection="1">
      <alignment vertical="center" wrapText="1"/>
    </xf>
    <xf numFmtId="176" fontId="25" fillId="0" borderId="1" xfId="0" applyNumberFormat="1" applyFont="1" applyBorder="1" applyAlignment="1">
      <alignment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/>
    </xf>
    <xf numFmtId="43" fontId="25" fillId="0" borderId="1" xfId="0" applyNumberFormat="1" applyFont="1" applyBorder="1" applyAlignment="1" applyProtection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/>
    </xf>
    <xf numFmtId="43" fontId="9" fillId="0" borderId="1" xfId="0" applyNumberFormat="1" applyFont="1" applyBorder="1" applyAlignment="1" applyProtection="1">
      <alignment horizontal="center" vertical="center"/>
    </xf>
    <xf numFmtId="43" fontId="11" fillId="0" borderId="1" xfId="0" applyNumberFormat="1" applyFont="1" applyBorder="1" applyAlignment="1" applyProtection="1">
      <alignment horizontal="center" vertical="center" wrapText="1"/>
    </xf>
    <xf numFmtId="43" fontId="11" fillId="0" borderId="1" xfId="0" applyNumberFormat="1" applyFont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6" fontId="25" fillId="8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Border="1" applyAlignment="1" applyProtection="1">
      <alignment horizontal="center" vertical="center" wrapText="1"/>
    </xf>
    <xf numFmtId="176" fontId="2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76" fontId="32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33" fillId="0" borderId="1" xfId="0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 applyProtection="1">
      <alignment vertical="center" wrapText="1"/>
    </xf>
    <xf numFmtId="178" fontId="32" fillId="7" borderId="1" xfId="0" applyNumberFormat="1" applyFont="1" applyFill="1" applyBorder="1" applyAlignment="1" applyProtection="1">
      <alignment horizontal="center" vertical="center" wrapText="1"/>
    </xf>
    <xf numFmtId="178" fontId="11" fillId="2" borderId="1" xfId="0" applyNumberFormat="1" applyFont="1" applyFill="1" applyBorder="1" applyAlignment="1" applyProtection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5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76" fontId="32" fillId="0" borderId="5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Alignment="1">
      <alignment vertical="center"/>
    </xf>
    <xf numFmtId="176" fontId="25" fillId="3" borderId="0" xfId="0" applyNumberFormat="1" applyFont="1" applyFill="1" applyAlignment="1">
      <alignment vertical="center"/>
    </xf>
    <xf numFmtId="176" fontId="8" fillId="9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3" fontId="11" fillId="9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3" fontId="25" fillId="9" borderId="1" xfId="0" applyNumberFormat="1" applyFont="1" applyFill="1" applyBorder="1" applyAlignment="1" applyProtection="1">
      <alignment horizontal="center" vertical="center" wrapText="1"/>
    </xf>
    <xf numFmtId="43" fontId="13" fillId="9" borderId="1" xfId="0" applyNumberFormat="1" applyFont="1" applyFill="1" applyBorder="1" applyAlignment="1" applyProtection="1">
      <alignment horizontal="center" vertical="center" wrapText="1"/>
    </xf>
    <xf numFmtId="43" fontId="22" fillId="9" borderId="1" xfId="0" applyNumberFormat="1" applyFont="1" applyFill="1" applyBorder="1" applyAlignment="1" applyProtection="1">
      <alignment horizontal="center" vertical="center" wrapText="1"/>
    </xf>
    <xf numFmtId="43" fontId="22" fillId="2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11" fillId="3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vertical="center" wrapText="1"/>
    </xf>
    <xf numFmtId="0" fontId="25" fillId="2" borderId="1" xfId="0" applyFont="1" applyFill="1" applyBorder="1" applyAlignment="1" applyProtection="1">
      <alignment vertical="center" wrapText="1"/>
    </xf>
    <xf numFmtId="176" fontId="25" fillId="2" borderId="1" xfId="0" applyNumberFormat="1" applyFont="1" applyFill="1" applyBorder="1" applyAlignment="1" applyProtection="1">
      <alignment horizontal="center" vertical="center"/>
    </xf>
    <xf numFmtId="176" fontId="25" fillId="2" borderId="1" xfId="0" applyNumberFormat="1" applyFont="1" applyFill="1" applyBorder="1" applyAlignment="1">
      <alignment vertical="center"/>
    </xf>
    <xf numFmtId="176" fontId="25" fillId="0" borderId="1" xfId="0" applyNumberFormat="1" applyFont="1" applyFill="1" applyBorder="1" applyAlignment="1">
      <alignment vertical="center" wrapText="1"/>
    </xf>
    <xf numFmtId="176" fontId="25" fillId="3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43" fontId="25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43" fontId="9" fillId="0" borderId="1" xfId="0" applyNumberFormat="1" applyFont="1" applyFill="1" applyBorder="1" applyAlignment="1" applyProtection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 applyProtection="1">
      <alignment horizontal="center" vertical="center"/>
    </xf>
    <xf numFmtId="43" fontId="11" fillId="2" borderId="1" xfId="0" applyNumberFormat="1" applyFont="1" applyFill="1" applyBorder="1" applyAlignment="1" applyProtection="1">
      <alignment horizontal="center" vertical="center"/>
    </xf>
    <xf numFmtId="43" fontId="14" fillId="2" borderId="1" xfId="0" applyNumberFormat="1" applyFont="1" applyFill="1" applyBorder="1" applyAlignment="1" applyProtection="1">
      <alignment horizontal="center" vertical="center"/>
    </xf>
    <xf numFmtId="43" fontId="11" fillId="3" borderId="1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vertical="center" wrapText="1"/>
    </xf>
    <xf numFmtId="176" fontId="10" fillId="0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2" borderId="0" xfId="0" applyNumberFormat="1" applyFont="1" applyFill="1" applyBorder="1" applyAlignment="1">
      <alignment vertical="center"/>
    </xf>
    <xf numFmtId="176" fontId="10" fillId="3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vertical="center" wrapText="1"/>
    </xf>
    <xf numFmtId="177" fontId="40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41" fillId="0" borderId="2" xfId="50" applyNumberFormat="1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41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vertical="center" wrapText="1"/>
    </xf>
    <xf numFmtId="177" fontId="10" fillId="2" borderId="1" xfId="50" applyNumberFormat="1" applyFont="1" applyFill="1" applyBorder="1" applyAlignment="1">
      <alignment horizontal="center" vertical="center" wrapText="1"/>
    </xf>
    <xf numFmtId="176" fontId="14" fillId="11" borderId="1" xfId="50" applyNumberFormat="1" applyFont="1" applyFill="1" applyBorder="1" applyAlignment="1">
      <alignment horizontal="center" vertical="center" wrapText="1"/>
    </xf>
    <xf numFmtId="0" fontId="42" fillId="0" borderId="1" xfId="50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center" vertical="center"/>
    </xf>
    <xf numFmtId="0" fontId="43" fillId="2" borderId="1" xfId="50" applyFont="1" applyFill="1" applyBorder="1" applyAlignment="1">
      <alignment horizontal="center" vertical="center" wrapText="1"/>
    </xf>
    <xf numFmtId="0" fontId="43" fillId="0" borderId="3" xfId="50" applyFont="1" applyFill="1" applyBorder="1" applyAlignment="1">
      <alignment horizontal="center" vertical="center" wrapText="1"/>
    </xf>
    <xf numFmtId="43" fontId="44" fillId="0" borderId="1" xfId="5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/>
    </xf>
    <xf numFmtId="0" fontId="43" fillId="2" borderId="3" xfId="50" applyFont="1" applyFill="1" applyBorder="1" applyAlignment="1">
      <alignment horizontal="center" vertical="center" wrapText="1"/>
    </xf>
    <xf numFmtId="43" fontId="44" fillId="2" borderId="1" xfId="50" applyNumberFormat="1" applyFont="1" applyFill="1" applyBorder="1" applyAlignment="1">
      <alignment horizontal="center" vertical="center" wrapText="1"/>
    </xf>
    <xf numFmtId="0" fontId="43" fillId="0" borderId="1" xfId="50" applyFont="1" applyFill="1" applyBorder="1" applyAlignment="1">
      <alignment horizontal="center" vertical="center" wrapText="1"/>
    </xf>
    <xf numFmtId="43" fontId="43" fillId="0" borderId="1" xfId="50" applyNumberFormat="1" applyFont="1" applyFill="1" applyBorder="1" applyAlignment="1">
      <alignment horizontal="center" vertical="center" wrapText="1"/>
    </xf>
    <xf numFmtId="0" fontId="45" fillId="0" borderId="1" xfId="5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14" fillId="11" borderId="1" xfId="50" applyFont="1" applyFill="1" applyBorder="1" applyAlignment="1">
      <alignment horizontal="center" vertical="center" wrapText="1"/>
    </xf>
    <xf numFmtId="176" fontId="14" fillId="0" borderId="1" xfId="50" applyNumberFormat="1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176" fontId="14" fillId="5" borderId="1" xfId="50" applyNumberFormat="1" applyFont="1" applyFill="1" applyBorder="1" applyAlignment="1">
      <alignment horizontal="center" vertical="center" wrapText="1"/>
    </xf>
    <xf numFmtId="0" fontId="43" fillId="5" borderId="1" xfId="50" applyFont="1" applyFill="1" applyBorder="1" applyAlignment="1">
      <alignment horizontal="center" vertical="center" wrapText="1"/>
    </xf>
    <xf numFmtId="0" fontId="45" fillId="2" borderId="1" xfId="50" applyFont="1" applyFill="1" applyBorder="1" applyAlignment="1">
      <alignment horizontal="center" vertical="center" wrapText="1"/>
    </xf>
    <xf numFmtId="176" fontId="7" fillId="0" borderId="6" xfId="50" applyNumberFormat="1" applyFont="1" applyFill="1" applyBorder="1" applyAlignment="1">
      <alignment horizontal="center" vertical="center" wrapText="1"/>
    </xf>
    <xf numFmtId="43" fontId="46" fillId="0" borderId="1" xfId="50" applyNumberFormat="1" applyFont="1" applyFill="1" applyBorder="1" applyAlignment="1">
      <alignment horizontal="center" vertical="center" wrapText="1"/>
    </xf>
    <xf numFmtId="43" fontId="43" fillId="2" borderId="1" xfId="50" applyNumberFormat="1" applyFont="1" applyFill="1" applyBorder="1" applyAlignment="1">
      <alignment horizontal="center" vertical="center" wrapText="1"/>
    </xf>
    <xf numFmtId="43" fontId="47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3" fontId="49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4" fillId="0" borderId="1" xfId="50" applyFont="1" applyFill="1" applyBorder="1" applyAlignment="1">
      <alignment horizontal="center" vertical="center" wrapText="1"/>
    </xf>
    <xf numFmtId="43" fontId="48" fillId="0" borderId="1" xfId="0" applyNumberFormat="1" applyFont="1" applyFill="1" applyBorder="1" applyAlignment="1">
      <alignment horizontal="center" vertical="center" wrapText="1"/>
    </xf>
    <xf numFmtId="176" fontId="17" fillId="12" borderId="1" xfId="54" applyNumberFormat="1" applyFont="1" applyFill="1" applyBorder="1" applyAlignment="1">
      <alignment horizontal="center" vertical="center" wrapText="1"/>
    </xf>
    <xf numFmtId="176" fontId="17" fillId="12" borderId="2" xfId="54" applyNumberFormat="1" applyFont="1" applyFill="1" applyBorder="1" applyAlignment="1">
      <alignment horizontal="center" vertical="center" wrapText="1"/>
    </xf>
    <xf numFmtId="176" fontId="17" fillId="12" borderId="3" xfId="54" applyNumberFormat="1" applyFont="1" applyFill="1" applyBorder="1" applyAlignment="1">
      <alignment horizontal="center" vertical="center" wrapText="1"/>
    </xf>
    <xf numFmtId="176" fontId="39" fillId="2" borderId="0" xfId="0" applyNumberFormat="1" applyFont="1" applyFill="1" applyBorder="1" applyAlignment="1">
      <alignment vertical="center" wrapText="1"/>
    </xf>
    <xf numFmtId="176" fontId="10" fillId="8" borderId="0" xfId="0" applyNumberFormat="1" applyFont="1" applyFill="1" applyAlignment="1">
      <alignment horizontal="center" vertical="center"/>
    </xf>
    <xf numFmtId="57" fontId="43" fillId="2" borderId="1" xfId="50" applyNumberFormat="1" applyFont="1" applyFill="1" applyBorder="1" applyAlignment="1">
      <alignment horizontal="center" vertical="center" wrapText="1"/>
    </xf>
    <xf numFmtId="176" fontId="10" fillId="4" borderId="0" xfId="0" applyNumberFormat="1" applyFont="1" applyFill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76" fontId="51" fillId="13" borderId="1" xfId="50" applyNumberFormat="1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/>
    </xf>
    <xf numFmtId="0" fontId="14" fillId="5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3" fontId="38" fillId="0" borderId="1" xfId="0" applyNumberFormat="1" applyFont="1" applyFill="1" applyBorder="1" applyAlignment="1">
      <alignment horizontal="center" vertical="center"/>
    </xf>
    <xf numFmtId="0" fontId="14" fillId="2" borderId="1" xfId="5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3" fontId="5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14" fillId="9" borderId="1" xfId="50" applyFont="1" applyFill="1" applyBorder="1" applyAlignment="1">
      <alignment horizontal="center" vertical="center" wrapText="1"/>
    </xf>
    <xf numFmtId="14" fontId="38" fillId="2" borderId="7" xfId="0" applyNumberFormat="1" applyFont="1" applyFill="1" applyBorder="1" applyAlignment="1">
      <alignment horizontal="center" vertical="center"/>
    </xf>
    <xf numFmtId="0" fontId="14" fillId="4" borderId="1" xfId="5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vertical="center"/>
    </xf>
    <xf numFmtId="177" fontId="39" fillId="3" borderId="0" xfId="0" applyNumberFormat="1" applyFont="1" applyFill="1" applyAlignment="1">
      <alignment horizontal="center" vertical="center"/>
    </xf>
    <xf numFmtId="43" fontId="46" fillId="2" borderId="1" xfId="50" applyNumberFormat="1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7" fillId="0" borderId="0" xfId="0" applyNumberFormat="1" applyFont="1" applyFill="1" applyBorder="1" applyAlignment="1">
      <alignment vertical="center"/>
    </xf>
    <xf numFmtId="0" fontId="43" fillId="0" borderId="8" xfId="50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vertical="center"/>
    </xf>
    <xf numFmtId="176" fontId="39" fillId="3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40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7" fillId="0" borderId="9" xfId="50" applyNumberFormat="1" applyFont="1" applyFill="1" applyBorder="1" applyAlignment="1">
      <alignment horizontal="center" vertical="center" wrapText="1"/>
    </xf>
    <xf numFmtId="176" fontId="17" fillId="0" borderId="9" xfId="50" applyNumberFormat="1" applyFont="1" applyFill="1" applyBorder="1" applyAlignment="1">
      <alignment horizontal="center" vertical="center" wrapText="1"/>
    </xf>
    <xf numFmtId="176" fontId="7" fillId="0" borderId="9" xfId="50" applyNumberFormat="1" applyFont="1" applyFill="1" applyBorder="1" applyAlignment="1">
      <alignment horizontal="center" vertical="center" wrapText="1"/>
    </xf>
    <xf numFmtId="176" fontId="17" fillId="0" borderId="1" xfId="50" applyNumberFormat="1" applyFont="1" applyFill="1" applyBorder="1" applyAlignment="1">
      <alignment horizontal="center" vertical="center" wrapText="1"/>
    </xf>
    <xf numFmtId="177" fontId="14" fillId="0" borderId="1" xfId="50" applyNumberFormat="1" applyFont="1" applyFill="1" applyBorder="1" applyAlignment="1">
      <alignment horizontal="center" vertical="center" wrapText="1"/>
    </xf>
    <xf numFmtId="176" fontId="14" fillId="15" borderId="1" xfId="5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44" fillId="2" borderId="1" xfId="50" applyFont="1" applyFill="1" applyBorder="1" applyAlignment="1">
      <alignment horizontal="center" vertical="center" wrapText="1"/>
    </xf>
    <xf numFmtId="176" fontId="10" fillId="2" borderId="1" xfId="50" applyNumberFormat="1" applyFont="1" applyFill="1" applyBorder="1" applyAlignment="1">
      <alignment horizontal="center" vertical="center" wrapText="1"/>
    </xf>
    <xf numFmtId="176" fontId="10" fillId="5" borderId="1" xfId="50" applyNumberFormat="1" applyFont="1" applyFill="1" applyBorder="1" applyAlignment="1">
      <alignment horizontal="center" vertical="center" wrapText="1"/>
    </xf>
    <xf numFmtId="176" fontId="14" fillId="2" borderId="1" xfId="50" applyNumberFormat="1" applyFont="1" applyFill="1" applyBorder="1" applyAlignment="1">
      <alignment horizontal="center" vertical="center" wrapText="1"/>
    </xf>
    <xf numFmtId="176" fontId="0" fillId="2" borderId="1" xfId="50" applyNumberFormat="1" applyFont="1" applyFill="1" applyBorder="1" applyAlignment="1">
      <alignment horizontal="center" vertical="center" wrapText="1"/>
    </xf>
    <xf numFmtId="176" fontId="12" fillId="2" borderId="1" xfId="50" applyNumberFormat="1" applyFont="1" applyFill="1" applyBorder="1" applyAlignment="1">
      <alignment horizontal="center" vertical="center" wrapText="1"/>
    </xf>
    <xf numFmtId="0" fontId="43" fillId="9" borderId="1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3" fillId="4" borderId="1" xfId="50" applyFont="1" applyFill="1" applyBorder="1" applyAlignment="1">
      <alignment horizontal="center" vertical="center" wrapText="1"/>
    </xf>
    <xf numFmtId="177" fontId="10" fillId="0" borderId="10" xfId="5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7" fillId="0" borderId="11" xfId="50" applyNumberFormat="1" applyFont="1" applyFill="1" applyBorder="1" applyAlignment="1">
      <alignment horizontal="center" vertical="center" wrapText="1"/>
    </xf>
    <xf numFmtId="176" fontId="17" fillId="0" borderId="9" xfId="54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49" fillId="0" borderId="1" xfId="0" applyNumberFormat="1" applyFont="1" applyFill="1" applyBorder="1" applyAlignment="1">
      <alignment horizontal="center" vertical="center" wrapText="1"/>
    </xf>
    <xf numFmtId="176" fontId="48" fillId="0" borderId="1" xfId="0" applyNumberFormat="1" applyFont="1" applyFill="1" applyBorder="1" applyAlignment="1">
      <alignment horizontal="center" vertical="center" wrapText="1"/>
    </xf>
    <xf numFmtId="176" fontId="44" fillId="0" borderId="1" xfId="50" applyNumberFormat="1" applyFont="1" applyFill="1" applyBorder="1" applyAlignment="1">
      <alignment horizontal="center" vertical="center" wrapText="1"/>
    </xf>
    <xf numFmtId="176" fontId="17" fillId="12" borderId="9" xfId="5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7" fillId="0" borderId="9" xfId="51" applyNumberFormat="1" applyFont="1" applyFill="1" applyBorder="1" applyAlignment="1">
      <alignment horizontal="center" vertical="center" wrapText="1"/>
    </xf>
    <xf numFmtId="176" fontId="17" fillId="0" borderId="1" xfId="51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176" fontId="53" fillId="0" borderId="12" xfId="54" applyNumberFormat="1" applyFont="1" applyFill="1" applyBorder="1" applyAlignment="1">
      <alignment horizontal="center" vertical="center" wrapText="1"/>
    </xf>
    <xf numFmtId="176" fontId="53" fillId="0" borderId="8" xfId="54" applyNumberFormat="1" applyFont="1" applyFill="1" applyBorder="1" applyAlignment="1">
      <alignment horizontal="center" vertical="center" wrapText="1"/>
    </xf>
    <xf numFmtId="176" fontId="46" fillId="0" borderId="1" xfId="50" applyNumberFormat="1" applyFont="1" applyFill="1" applyBorder="1" applyAlignment="1">
      <alignment horizontal="center" vertical="center" wrapText="1"/>
    </xf>
    <xf numFmtId="176" fontId="10" fillId="9" borderId="0" xfId="0" applyNumberFormat="1" applyFont="1" applyFill="1" applyBorder="1" applyAlignment="1">
      <alignment vertical="center"/>
    </xf>
    <xf numFmtId="176" fontId="37" fillId="9" borderId="0" xfId="0" applyNumberFormat="1" applyFont="1" applyFill="1" applyBorder="1" applyAlignment="1">
      <alignment vertical="center"/>
    </xf>
    <xf numFmtId="176" fontId="54" fillId="0" borderId="0" xfId="0" applyNumberFormat="1" applyFont="1" applyFill="1" applyBorder="1" applyAlignment="1">
      <alignment vertical="center"/>
    </xf>
    <xf numFmtId="176" fontId="3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 wrapText="1"/>
    </xf>
    <xf numFmtId="177" fontId="55" fillId="0" borderId="0" xfId="0" applyNumberFormat="1" applyFont="1" applyFill="1" applyAlignment="1">
      <alignment horizontal="center" vertical="center" wrapText="1"/>
    </xf>
    <xf numFmtId="177" fontId="7" fillId="9" borderId="1" xfId="50" applyNumberFormat="1" applyFont="1" applyFill="1" applyBorder="1" applyAlignment="1">
      <alignment horizontal="center" vertical="center" wrapText="1"/>
    </xf>
    <xf numFmtId="176" fontId="56" fillId="9" borderId="2" xfId="50" applyNumberFormat="1" applyFont="1" applyFill="1" applyBorder="1" applyAlignment="1">
      <alignment horizontal="center" vertical="center" wrapText="1"/>
    </xf>
    <xf numFmtId="176" fontId="7" fillId="9" borderId="2" xfId="50" applyNumberFormat="1" applyFont="1" applyFill="1" applyBorder="1" applyAlignment="1">
      <alignment horizontal="center" vertical="center" wrapText="1"/>
    </xf>
    <xf numFmtId="176" fontId="7" fillId="9" borderId="1" xfId="50" applyNumberFormat="1" applyFont="1" applyFill="1" applyBorder="1" applyAlignment="1">
      <alignment horizontal="center" vertical="center" wrapText="1"/>
    </xf>
    <xf numFmtId="176" fontId="56" fillId="9" borderId="3" xfId="50" applyNumberFormat="1" applyFont="1" applyFill="1" applyBorder="1" applyAlignment="1">
      <alignment horizontal="center" vertical="center" wrapText="1"/>
    </xf>
    <xf numFmtId="176" fontId="7" fillId="9" borderId="3" xfId="50" applyNumberFormat="1" applyFont="1" applyFill="1" applyBorder="1" applyAlignment="1">
      <alignment horizontal="center" vertical="center" wrapText="1"/>
    </xf>
    <xf numFmtId="176" fontId="7" fillId="9" borderId="1" xfId="50" applyNumberFormat="1" applyFont="1" applyFill="1" applyBorder="1" applyAlignment="1">
      <alignment vertical="center" wrapText="1"/>
    </xf>
    <xf numFmtId="177" fontId="44" fillId="0" borderId="1" xfId="50" applyNumberFormat="1" applyFont="1" applyFill="1" applyBorder="1" applyAlignment="1">
      <alignment horizontal="center" vertical="center" wrapText="1"/>
    </xf>
    <xf numFmtId="176" fontId="37" fillId="7" borderId="1" xfId="50" applyNumberFormat="1" applyFont="1" applyFill="1" applyBorder="1" applyAlignment="1">
      <alignment horizontal="center" vertical="center" wrapText="1"/>
    </xf>
    <xf numFmtId="14" fontId="50" fillId="2" borderId="1" xfId="0" applyNumberFormat="1" applyFont="1" applyFill="1" applyBorder="1" applyAlignment="1">
      <alignment horizontal="center" vertical="center"/>
    </xf>
    <xf numFmtId="176" fontId="37" fillId="0" borderId="1" xfId="50" applyNumberFormat="1" applyFont="1" applyFill="1" applyBorder="1" applyAlignment="1">
      <alignment horizontal="center" vertical="center" wrapText="1"/>
    </xf>
    <xf numFmtId="14" fontId="50" fillId="0" borderId="1" xfId="0" applyNumberFormat="1" applyFont="1" applyFill="1" applyBorder="1" applyAlignment="1">
      <alignment horizontal="center" vertical="center"/>
    </xf>
    <xf numFmtId="176" fontId="37" fillId="9" borderId="1" xfId="50" applyNumberFormat="1" applyFont="1" applyFill="1" applyBorder="1" applyAlignment="1">
      <alignment horizontal="center" vertical="center" wrapText="1"/>
    </xf>
    <xf numFmtId="176" fontId="34" fillId="9" borderId="1" xfId="0" applyNumberFormat="1" applyFont="1" applyFill="1" applyBorder="1" applyAlignment="1">
      <alignment horizontal="center" vertical="center" wrapText="1"/>
    </xf>
    <xf numFmtId="176" fontId="37" fillId="2" borderId="1" xfId="50" applyNumberFormat="1" applyFont="1" applyFill="1" applyBorder="1" applyAlignment="1">
      <alignment horizontal="center" vertical="center" wrapText="1"/>
    </xf>
    <xf numFmtId="176" fontId="57" fillId="9" borderId="1" xfId="50" applyNumberFormat="1" applyFont="1" applyFill="1" applyBorder="1" applyAlignment="1">
      <alignment horizontal="center" vertical="center" wrapText="1"/>
    </xf>
    <xf numFmtId="176" fontId="34" fillId="9" borderId="1" xfId="50" applyNumberFormat="1" applyFont="1" applyFill="1" applyBorder="1" applyAlignment="1">
      <alignment horizontal="center" vertical="center" wrapText="1"/>
    </xf>
    <xf numFmtId="0" fontId="57" fillId="9" borderId="1" xfId="50" applyFont="1" applyFill="1" applyBorder="1" applyAlignment="1">
      <alignment horizontal="center" vertical="center" wrapText="1"/>
    </xf>
    <xf numFmtId="0" fontId="57" fillId="2" borderId="1" xfId="50" applyFont="1" applyFill="1" applyBorder="1" applyAlignment="1">
      <alignment horizontal="center" vertical="center" wrapText="1"/>
    </xf>
    <xf numFmtId="0" fontId="57" fillId="5" borderId="1" xfId="50" applyFont="1" applyFill="1" applyBorder="1" applyAlignment="1">
      <alignment horizontal="center" vertical="center" wrapText="1"/>
    </xf>
    <xf numFmtId="14" fontId="50" fillId="2" borderId="7" xfId="0" applyNumberFormat="1" applyFont="1" applyFill="1" applyBorder="1" applyAlignment="1">
      <alignment horizontal="center" vertical="center"/>
    </xf>
    <xf numFmtId="176" fontId="37" fillId="9" borderId="1" xfId="0" applyNumberFormat="1" applyFont="1" applyFill="1" applyBorder="1" applyAlignment="1">
      <alignment horizontal="center" vertical="center"/>
    </xf>
    <xf numFmtId="176" fontId="44" fillId="0" borderId="1" xfId="0" applyNumberFormat="1" applyFont="1" applyFill="1" applyBorder="1" applyAlignment="1">
      <alignment horizontal="center" vertical="center"/>
    </xf>
    <xf numFmtId="177" fontId="4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44" fillId="4" borderId="1" xfId="50" applyFont="1" applyFill="1" applyBorder="1" applyAlignment="1">
      <alignment horizontal="center" vertical="center" wrapText="1"/>
    </xf>
    <xf numFmtId="177" fontId="58" fillId="0" borderId="0" xfId="0" applyNumberFormat="1" applyFont="1" applyFill="1" applyAlignment="1">
      <alignment horizontal="center" vertical="center" wrapText="1"/>
    </xf>
    <xf numFmtId="176" fontId="59" fillId="9" borderId="2" xfId="50" applyNumberFormat="1" applyFont="1" applyFill="1" applyBorder="1" applyAlignment="1">
      <alignment horizontal="center" vertical="center" wrapText="1"/>
    </xf>
    <xf numFmtId="176" fontId="7" fillId="9" borderId="6" xfId="50" applyNumberFormat="1" applyFont="1" applyFill="1" applyBorder="1" applyAlignment="1">
      <alignment horizontal="center" vertical="center" wrapText="1"/>
    </xf>
    <xf numFmtId="176" fontId="59" fillId="9" borderId="3" xfId="50" applyNumberFormat="1" applyFont="1" applyFill="1" applyBorder="1" applyAlignment="1">
      <alignment horizontal="center" vertical="center" wrapText="1"/>
    </xf>
    <xf numFmtId="43" fontId="54" fillId="2" borderId="1" xfId="50" applyNumberFormat="1" applyFont="1" applyFill="1" applyBorder="1" applyAlignment="1">
      <alignment horizontal="center" vertical="center" wrapText="1"/>
    </xf>
    <xf numFmtId="43" fontId="60" fillId="0" borderId="1" xfId="50" applyNumberFormat="1" applyFont="1" applyFill="1" applyBorder="1" applyAlignment="1">
      <alignment horizontal="center" vertical="center" wrapText="1"/>
    </xf>
    <xf numFmtId="43" fontId="60" fillId="2" borderId="1" xfId="50" applyNumberFormat="1" applyFont="1" applyFill="1" applyBorder="1" applyAlignment="1">
      <alignment horizontal="center" vertical="center" wrapText="1"/>
    </xf>
    <xf numFmtId="43" fontId="61" fillId="0" borderId="1" xfId="50" applyNumberFormat="1" applyFont="1" applyFill="1" applyBorder="1" applyAlignment="1">
      <alignment horizontal="center" vertical="center" wrapText="1"/>
    </xf>
    <xf numFmtId="176" fontId="54" fillId="0" borderId="1" xfId="0" applyNumberFormat="1" applyFont="1" applyFill="1" applyBorder="1" applyAlignment="1">
      <alignment horizontal="center" vertical="center"/>
    </xf>
    <xf numFmtId="176" fontId="17" fillId="9" borderId="1" xfId="54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50" fillId="2" borderId="7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6" fontId="17" fillId="3" borderId="1" xfId="50" applyNumberFormat="1" applyFont="1" applyFill="1" applyBorder="1" applyAlignment="1">
      <alignment horizontal="center" vertical="center" wrapText="1"/>
    </xf>
    <xf numFmtId="176" fontId="17" fillId="9" borderId="2" xfId="54" applyNumberFormat="1" applyFont="1" applyFill="1" applyBorder="1" applyAlignment="1">
      <alignment horizontal="center" vertical="center" wrapText="1"/>
    </xf>
    <xf numFmtId="176" fontId="17" fillId="9" borderId="2" xfId="51" applyNumberFormat="1" applyFont="1" applyFill="1" applyBorder="1" applyAlignment="1">
      <alignment horizontal="center" vertical="center" wrapText="1"/>
    </xf>
    <xf numFmtId="176" fontId="17" fillId="9" borderId="3" xfId="54" applyNumberFormat="1" applyFont="1" applyFill="1" applyBorder="1" applyAlignment="1">
      <alignment horizontal="center" vertical="center" wrapText="1"/>
    </xf>
    <xf numFmtId="176" fontId="17" fillId="9" borderId="3" xfId="51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62" fillId="2" borderId="7" xfId="0" applyNumberFormat="1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43" fontId="4" fillId="0" borderId="7" xfId="0" applyNumberFormat="1" applyFont="1" applyFill="1" applyBorder="1" applyAlignment="1">
      <alignment horizontal="center" vertical="center" wrapText="1"/>
    </xf>
    <xf numFmtId="43" fontId="14" fillId="0" borderId="7" xfId="0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6" fontId="7" fillId="9" borderId="1" xfId="54" applyNumberFormat="1" applyFont="1" applyFill="1" applyBorder="1" applyAlignment="1">
      <alignment horizontal="center" vertical="center" wrapText="1"/>
    </xf>
    <xf numFmtId="176" fontId="10" fillId="9" borderId="0" xfId="0" applyNumberFormat="1" applyFont="1" applyFill="1" applyBorder="1" applyAlignment="1">
      <alignment vertical="center" wrapText="1"/>
    </xf>
    <xf numFmtId="0" fontId="39" fillId="2" borderId="1" xfId="50" applyFont="1" applyFill="1" applyBorder="1" applyAlignment="1">
      <alignment horizontal="center" vertical="center" wrapText="1"/>
    </xf>
    <xf numFmtId="176" fontId="44" fillId="0" borderId="0" xfId="0" applyNumberFormat="1" applyFont="1" applyFill="1" applyBorder="1" applyAlignment="1">
      <alignment vertical="center" wrapText="1"/>
    </xf>
    <xf numFmtId="43" fontId="63" fillId="0" borderId="1" xfId="0" applyNumberFormat="1" applyFont="1" applyFill="1" applyBorder="1" applyAlignment="1" applyProtection="1">
      <alignment horizontal="center" vertical="center" wrapText="1"/>
    </xf>
    <xf numFmtId="43" fontId="64" fillId="0" borderId="1" xfId="0" applyNumberFormat="1" applyFont="1" applyFill="1" applyBorder="1" applyAlignment="1" applyProtection="1">
      <alignment horizontal="center" vertical="center" wrapText="1"/>
    </xf>
    <xf numFmtId="176" fontId="43" fillId="0" borderId="0" xfId="0" applyNumberFormat="1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63" fillId="0" borderId="7" xfId="0" applyNumberFormat="1" applyFont="1" applyFill="1" applyBorder="1" applyAlignment="1" applyProtection="1">
      <alignment horizontal="center" vertical="center" wrapText="1"/>
    </xf>
    <xf numFmtId="43" fontId="5" fillId="2" borderId="7" xfId="0" applyNumberFormat="1" applyFont="1" applyFill="1" applyBorder="1" applyAlignment="1">
      <alignment horizontal="center" vertical="center" wrapText="1"/>
    </xf>
    <xf numFmtId="43" fontId="64" fillId="0" borderId="7" xfId="0" applyNumberFormat="1" applyFont="1" applyFill="1" applyBorder="1" applyAlignment="1" applyProtection="1">
      <alignment horizontal="center" vertical="center" wrapText="1"/>
    </xf>
    <xf numFmtId="43" fontId="62" fillId="2" borderId="7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vertical="center"/>
    </xf>
    <xf numFmtId="176" fontId="37" fillId="9" borderId="1" xfId="0" applyNumberFormat="1" applyFont="1" applyFill="1" applyBorder="1" applyAlignment="1">
      <alignment vertical="center"/>
    </xf>
    <xf numFmtId="176" fontId="54" fillId="0" borderId="1" xfId="0" applyNumberFormat="1" applyFont="1" applyFill="1" applyBorder="1" applyAlignment="1">
      <alignment vertical="center"/>
    </xf>
    <xf numFmtId="177" fontId="43" fillId="0" borderId="1" xfId="0" applyNumberFormat="1" applyFont="1" applyFill="1" applyBorder="1" applyAlignment="1">
      <alignment horizontal="center" vertical="center"/>
    </xf>
    <xf numFmtId="177" fontId="10" fillId="3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7" borderId="1" xfId="50" applyNumberFormat="1" applyFont="1" applyFill="1" applyBorder="1" applyAlignment="1">
      <alignment horizontal="center" vertical="center" wrapText="1"/>
    </xf>
    <xf numFmtId="0" fontId="44" fillId="0" borderId="3" xfId="50" applyFont="1" applyFill="1" applyBorder="1" applyAlignment="1">
      <alignment horizontal="center" vertical="center" wrapText="1"/>
    </xf>
    <xf numFmtId="176" fontId="10" fillId="7" borderId="1" xfId="5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65" fillId="3" borderId="0" xfId="0" applyFont="1" applyFill="1" applyAlignment="1">
      <alignment vertical="center"/>
    </xf>
    <xf numFmtId="177" fontId="65" fillId="0" borderId="0" xfId="0" applyNumberFormat="1" applyFont="1" applyFill="1" applyAlignment="1">
      <alignment vertical="center"/>
    </xf>
    <xf numFmtId="177" fontId="58" fillId="0" borderId="1" xfId="0" applyNumberFormat="1" applyFont="1" applyFill="1" applyBorder="1" applyAlignment="1">
      <alignment horizontal="center" vertical="center" wrapText="1"/>
    </xf>
    <xf numFmtId="176" fontId="58" fillId="0" borderId="1" xfId="0" applyNumberFormat="1" applyFont="1" applyFill="1" applyBorder="1" applyAlignment="1">
      <alignment horizontal="center" vertical="center" wrapText="1"/>
    </xf>
    <xf numFmtId="177" fontId="59" fillId="0" borderId="1" xfId="50" applyNumberFormat="1" applyFont="1" applyFill="1" applyBorder="1" applyAlignment="1">
      <alignment horizontal="center" vertical="center" wrapText="1"/>
    </xf>
    <xf numFmtId="176" fontId="59" fillId="0" borderId="1" xfId="50" applyNumberFormat="1" applyFont="1" applyFill="1" applyBorder="1" applyAlignment="1">
      <alignment horizontal="center" vertical="center" wrapText="1"/>
    </xf>
    <xf numFmtId="177" fontId="59" fillId="2" borderId="1" xfId="50" applyNumberFormat="1" applyFont="1" applyFill="1" applyBorder="1" applyAlignment="1">
      <alignment horizontal="center" vertical="center" wrapText="1"/>
    </xf>
    <xf numFmtId="0" fontId="54" fillId="7" borderId="1" xfId="50" applyFont="1" applyFill="1" applyBorder="1" applyAlignment="1">
      <alignment horizontal="center" vertical="center" wrapText="1"/>
    </xf>
    <xf numFmtId="0" fontId="54" fillId="0" borderId="1" xfId="5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/>
    </xf>
    <xf numFmtId="0" fontId="60" fillId="0" borderId="1" xfId="50" applyFont="1" applyFill="1" applyBorder="1" applyAlignment="1">
      <alignment horizontal="center" vertical="center" wrapText="1"/>
    </xf>
    <xf numFmtId="0" fontId="54" fillId="0" borderId="1" xfId="50" applyNumberFormat="1" applyFont="1" applyFill="1" applyBorder="1" applyAlignment="1">
      <alignment horizontal="center" vertical="center"/>
    </xf>
    <xf numFmtId="43" fontId="54" fillId="0" borderId="1" xfId="50" applyNumberFormat="1" applyFont="1" applyFill="1" applyBorder="1" applyAlignment="1">
      <alignment horizontal="center" vertical="center"/>
    </xf>
    <xf numFmtId="43" fontId="54" fillId="0" borderId="1" xfId="0" applyNumberFormat="1" applyFont="1" applyFill="1" applyBorder="1" applyAlignment="1">
      <alignment horizontal="center" vertical="center"/>
    </xf>
    <xf numFmtId="0" fontId="67" fillId="7" borderId="1" xfId="0" applyFont="1" applyFill="1" applyBorder="1" applyAlignment="1" applyProtection="1">
      <alignment horizontal="center" vertical="center"/>
      <protection locked="0"/>
    </xf>
    <xf numFmtId="0" fontId="54" fillId="0" borderId="1" xfId="50" applyFont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14" fontId="54" fillId="0" borderId="1" xfId="50" applyNumberFormat="1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14" fontId="54" fillId="4" borderId="1" xfId="50" applyNumberFormat="1" applyFont="1" applyFill="1" applyBorder="1" applyAlignment="1">
      <alignment horizontal="center" vertical="center" wrapText="1"/>
    </xf>
    <xf numFmtId="177" fontId="65" fillId="0" borderId="1" xfId="0" applyNumberFormat="1" applyFont="1" applyFill="1" applyBorder="1" applyAlignment="1">
      <alignment horizontal="center" vertical="center" wrapText="1"/>
    </xf>
    <xf numFmtId="176" fontId="65" fillId="0" borderId="1" xfId="0" applyNumberFormat="1" applyFont="1" applyFill="1" applyBorder="1" applyAlignment="1">
      <alignment horizontal="center" vertical="center"/>
    </xf>
    <xf numFmtId="176" fontId="58" fillId="0" borderId="1" xfId="0" applyNumberFormat="1" applyFont="1" applyFill="1" applyBorder="1" applyAlignment="1">
      <alignment horizontal="center" vertical="center"/>
    </xf>
    <xf numFmtId="43" fontId="58" fillId="0" borderId="1" xfId="0" applyNumberFormat="1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43" fontId="54" fillId="0" borderId="1" xfId="50" applyNumberFormat="1" applyFont="1" applyFill="1" applyBorder="1" applyAlignment="1">
      <alignment horizontal="center" vertical="center" wrapText="1"/>
    </xf>
    <xf numFmtId="43" fontId="66" fillId="0" borderId="1" xfId="0" applyNumberFormat="1" applyFont="1" applyFill="1" applyBorder="1" applyAlignment="1">
      <alignment vertical="center"/>
    </xf>
    <xf numFmtId="176" fontId="59" fillId="0" borderId="1" xfId="54" applyNumberFormat="1" applyFont="1" applyFill="1" applyBorder="1" applyAlignment="1">
      <alignment horizontal="center" vertical="center" wrapText="1"/>
    </xf>
    <xf numFmtId="43" fontId="69" fillId="0" borderId="1" xfId="0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vertical="center"/>
    </xf>
    <xf numFmtId="176" fontId="60" fillId="0" borderId="1" xfId="0" applyNumberFormat="1" applyFont="1" applyFill="1" applyBorder="1" applyAlignment="1">
      <alignment horizontal="center" vertical="center" wrapText="1"/>
    </xf>
    <xf numFmtId="176" fontId="65" fillId="0" borderId="1" xfId="0" applyNumberFormat="1" applyFont="1" applyFill="1" applyBorder="1" applyAlignment="1">
      <alignment horizontal="center" vertical="center" wrapText="1"/>
    </xf>
    <xf numFmtId="43" fontId="70" fillId="0" borderId="1" xfId="0" applyNumberFormat="1" applyFont="1" applyFill="1" applyBorder="1" applyAlignment="1">
      <alignment horizontal="left" vertical="center" wrapText="1"/>
    </xf>
    <xf numFmtId="43" fontId="59" fillId="0" borderId="1" xfId="50" applyNumberFormat="1" applyFont="1" applyBorder="1" applyAlignment="1">
      <alignment horizontal="center" vertical="center" wrapText="1"/>
    </xf>
    <xf numFmtId="43" fontId="71" fillId="0" borderId="1" xfId="0" applyNumberFormat="1" applyFont="1" applyFill="1" applyBorder="1" applyAlignment="1">
      <alignment horizontal="center" vertical="center"/>
    </xf>
    <xf numFmtId="43" fontId="70" fillId="0" borderId="1" xfId="0" applyNumberFormat="1" applyFont="1" applyFill="1" applyBorder="1" applyAlignment="1">
      <alignment horizontal="center" vertical="center" wrapText="1"/>
    </xf>
    <xf numFmtId="43" fontId="71" fillId="0" borderId="1" xfId="0" applyNumberFormat="1" applyFont="1" applyFill="1" applyBorder="1" applyAlignment="1">
      <alignment vertical="center"/>
    </xf>
    <xf numFmtId="43" fontId="58" fillId="0" borderId="1" xfId="0" applyNumberFormat="1" applyFont="1" applyFill="1" applyBorder="1" applyAlignment="1">
      <alignment horizontal="center" vertical="center" wrapText="1"/>
    </xf>
    <xf numFmtId="176" fontId="59" fillId="6" borderId="1" xfId="54" applyNumberFormat="1" applyFont="1" applyFill="1" applyBorder="1" applyAlignment="1">
      <alignment horizontal="center" vertical="center" wrapText="1"/>
    </xf>
    <xf numFmtId="176" fontId="59" fillId="6" borderId="1" xfId="51" applyNumberFormat="1" applyFont="1" applyFill="1" applyBorder="1" applyAlignment="1">
      <alignment horizontal="center" vertical="center" wrapText="1"/>
    </xf>
    <xf numFmtId="43" fontId="65" fillId="0" borderId="1" xfId="0" applyNumberFormat="1" applyFont="1" applyFill="1" applyBorder="1" applyAlignment="1">
      <alignment horizontal="center" vertical="center" wrapText="1"/>
    </xf>
    <xf numFmtId="176" fontId="59" fillId="0" borderId="1" xfId="5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/>
    </xf>
    <xf numFmtId="43" fontId="65" fillId="3" borderId="1" xfId="0" applyNumberFormat="1" applyFont="1" applyFill="1" applyBorder="1" applyAlignment="1">
      <alignment horizontal="center" vertical="center" wrapText="1"/>
    </xf>
    <xf numFmtId="0" fontId="65" fillId="7" borderId="0" xfId="0" applyFont="1" applyFill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 wrapText="1"/>
    </xf>
    <xf numFmtId="0" fontId="72" fillId="0" borderId="1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right" vertical="center"/>
    </xf>
    <xf numFmtId="0" fontId="6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177" fontId="25" fillId="0" borderId="0" xfId="0" applyNumberFormat="1" applyFont="1" applyFill="1" applyAlignment="1">
      <alignment horizontal="center" vertical="center"/>
    </xf>
    <xf numFmtId="0" fontId="28" fillId="9" borderId="4" xfId="0" applyFont="1" applyFill="1" applyBorder="1" applyAlignment="1" applyProtection="1">
      <alignment horizontal="center" vertical="center" wrapText="1"/>
    </xf>
    <xf numFmtId="178" fontId="33" fillId="9" borderId="4" xfId="0" applyNumberFormat="1" applyFont="1" applyFill="1" applyBorder="1" applyAlignment="1" applyProtection="1">
      <alignment horizontal="center" vertical="center" wrapText="1"/>
    </xf>
    <xf numFmtId="178" fontId="28" fillId="9" borderId="4" xfId="0" applyNumberFormat="1" applyFont="1" applyFill="1" applyBorder="1" applyAlignment="1" applyProtection="1">
      <alignment horizontal="center" vertical="center" wrapText="1"/>
    </xf>
    <xf numFmtId="178" fontId="9" fillId="9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0" fontId="31" fillId="9" borderId="4" xfId="0" applyFont="1" applyFill="1" applyBorder="1" applyAlignment="1" applyProtection="1">
      <alignment horizontal="center" vertical="center" wrapText="1"/>
    </xf>
    <xf numFmtId="178" fontId="11" fillId="7" borderId="13" xfId="0" applyNumberFormat="1" applyFont="1" applyFill="1" applyBorder="1" applyAlignment="1" applyProtection="1">
      <alignment horizontal="center" vertical="center" wrapText="1"/>
    </xf>
    <xf numFmtId="178" fontId="25" fillId="9" borderId="4" xfId="0" applyNumberFormat="1" applyFont="1" applyFill="1" applyBorder="1" applyAlignment="1" applyProtection="1">
      <alignment horizontal="center" vertical="center" wrapText="1"/>
    </xf>
    <xf numFmtId="14" fontId="73" fillId="0" borderId="4" xfId="0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43" fontId="25" fillId="0" borderId="4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/>
    </xf>
    <xf numFmtId="179" fontId="7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43" fontId="11" fillId="0" borderId="4" xfId="0" applyNumberFormat="1" applyFont="1" applyFill="1" applyBorder="1" applyAlignment="1" applyProtection="1">
      <alignment horizontal="center" vertical="center"/>
    </xf>
    <xf numFmtId="43" fontId="74" fillId="0" borderId="4" xfId="0" applyNumberFormat="1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/>
    </xf>
    <xf numFmtId="179" fontId="73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75" fillId="0" borderId="4" xfId="0" applyFont="1" applyFill="1" applyBorder="1" applyAlignment="1" applyProtection="1">
      <alignment horizontal="center" vertical="center" wrapText="1"/>
    </xf>
    <xf numFmtId="0" fontId="76" fillId="0" borderId="4" xfId="0" applyFont="1" applyFill="1" applyBorder="1" applyAlignment="1" applyProtection="1">
      <alignment horizontal="center" vertical="center"/>
    </xf>
    <xf numFmtId="179" fontId="77" fillId="0" borderId="4" xfId="0" applyNumberFormat="1" applyFont="1" applyFill="1" applyBorder="1" applyAlignment="1" applyProtection="1">
      <alignment horizontal="center" vertical="center" wrapText="1"/>
    </xf>
    <xf numFmtId="0" fontId="75" fillId="0" borderId="4" xfId="0" applyFont="1" applyFill="1" applyBorder="1" applyAlignment="1" applyProtection="1">
      <alignment horizontal="center" vertical="center"/>
    </xf>
    <xf numFmtId="43" fontId="75" fillId="0" borderId="4" xfId="0" applyNumberFormat="1" applyFont="1" applyFill="1" applyBorder="1" applyAlignment="1" applyProtection="1">
      <alignment horizontal="center" vertical="center"/>
    </xf>
    <xf numFmtId="43" fontId="78" fillId="0" borderId="4" xfId="0" applyNumberFormat="1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center" vertical="center"/>
    </xf>
    <xf numFmtId="176" fontId="11" fillId="0" borderId="15" xfId="0" applyNumberFormat="1" applyFont="1" applyFill="1" applyBorder="1" applyAlignment="1" applyProtection="1">
      <alignment horizontal="center" vertical="center"/>
    </xf>
    <xf numFmtId="176" fontId="11" fillId="0" borderId="4" xfId="0" applyNumberFormat="1" applyFont="1" applyFill="1" applyBorder="1" applyAlignment="1" applyProtection="1">
      <alignment vertical="center"/>
    </xf>
    <xf numFmtId="176" fontId="11" fillId="0" borderId="16" xfId="0" applyNumberFormat="1" applyFont="1" applyFill="1" applyBorder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178" fontId="28" fillId="0" borderId="4" xfId="0" applyNumberFormat="1" applyFont="1" applyFill="1" applyBorder="1" applyAlignment="1" applyProtection="1">
      <alignment horizontal="center" vertical="center" wrapText="1"/>
    </xf>
    <xf numFmtId="178" fontId="29" fillId="0" borderId="4" xfId="0" applyNumberFormat="1" applyFont="1" applyFill="1" applyBorder="1" applyAlignment="1" applyProtection="1">
      <alignment horizontal="center" vertical="center" wrapText="1"/>
    </xf>
    <xf numFmtId="177" fontId="8" fillId="0" borderId="0" xfId="0" applyNumberFormat="1" applyFont="1" applyFill="1" applyAlignment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43" fontId="25" fillId="0" borderId="4" xfId="0" applyNumberFormat="1" applyFont="1" applyFill="1" applyBorder="1" applyAlignment="1" applyProtection="1">
      <alignment horizontal="center" vertical="center" wrapText="1"/>
    </xf>
    <xf numFmtId="43" fontId="9" fillId="0" borderId="4" xfId="0" applyNumberFormat="1" applyFont="1" applyFill="1" applyBorder="1" applyAlignment="1" applyProtection="1">
      <alignment horizontal="center" vertical="center" wrapText="1"/>
    </xf>
    <xf numFmtId="177" fontId="11" fillId="0" borderId="4" xfId="0" applyNumberFormat="1" applyFont="1" applyFill="1" applyBorder="1" applyAlignment="1" applyProtection="1">
      <alignment horizontal="center" vertical="center" wrapText="1"/>
    </xf>
    <xf numFmtId="177" fontId="25" fillId="0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vertical="center" wrapText="1"/>
    </xf>
    <xf numFmtId="0" fontId="25" fillId="3" borderId="0" xfId="0" applyFont="1" applyFill="1" applyAlignment="1">
      <alignment vertical="center" wrapText="1"/>
    </xf>
    <xf numFmtId="177" fontId="25" fillId="3" borderId="0" xfId="0" applyNumberFormat="1" applyFont="1" applyFill="1" applyAlignment="1">
      <alignment horizontal="center" vertical="center"/>
    </xf>
    <xf numFmtId="0" fontId="9" fillId="10" borderId="4" xfId="0" applyFont="1" applyFill="1" applyBorder="1" applyAlignment="1" applyProtection="1">
      <alignment horizontal="center" vertical="center"/>
    </xf>
    <xf numFmtId="177" fontId="8" fillId="10" borderId="4" xfId="0" applyNumberFormat="1" applyFont="1" applyFill="1" applyBorder="1" applyAlignment="1" applyProtection="1">
      <alignment horizontal="center" vertical="center" wrapText="1"/>
    </xf>
    <xf numFmtId="43" fontId="11" fillId="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7" fontId="8" fillId="0" borderId="14" xfId="0" applyNumberFormat="1" applyFont="1" applyFill="1" applyBorder="1" applyAlignment="1" applyProtection="1">
      <alignment horizontal="center" vertical="center" wrapText="1"/>
    </xf>
    <xf numFmtId="43" fontId="11" fillId="0" borderId="13" xfId="0" applyNumberFormat="1" applyFont="1" applyFill="1" applyBorder="1" applyAlignment="1" applyProtection="1">
      <alignment horizontal="center" vertical="center"/>
    </xf>
    <xf numFmtId="43" fontId="8" fillId="0" borderId="1" xfId="0" applyNumberFormat="1" applyFont="1" applyFill="1" applyBorder="1" applyAlignment="1" applyProtection="1">
      <alignment horizontal="center" vertical="center" wrapText="1"/>
    </xf>
    <xf numFmtId="178" fontId="3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 applyProtection="1">
      <alignment horizontal="center" vertical="center"/>
    </xf>
    <xf numFmtId="43" fontId="25" fillId="0" borderId="17" xfId="0" applyNumberFormat="1" applyFont="1" applyFill="1" applyBorder="1" applyAlignment="1" applyProtection="1">
      <alignment horizontal="center" vertical="center"/>
    </xf>
    <xf numFmtId="43" fontId="25" fillId="0" borderId="18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43" fontId="25" fillId="0" borderId="19" xfId="0" applyNumberFormat="1" applyFont="1" applyFill="1" applyBorder="1" applyAlignment="1" applyProtection="1">
      <alignment horizontal="center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79" fillId="2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14" fontId="79" fillId="2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43" fontId="0" fillId="2" borderId="1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>
      <alignment horizontal="center" vertical="center" wrapText="1"/>
    </xf>
    <xf numFmtId="177" fontId="14" fillId="2" borderId="1" xfId="50" applyNumberFormat="1" applyFont="1" applyFill="1" applyBorder="1" applyAlignment="1">
      <alignment horizontal="center" vertical="center" wrapText="1"/>
    </xf>
    <xf numFmtId="0" fontId="14" fillId="2" borderId="4" xfId="53" applyFont="1" applyFill="1" applyBorder="1" applyAlignment="1">
      <alignment horizontal="center" vertical="center"/>
    </xf>
    <xf numFmtId="0" fontId="10" fillId="2" borderId="4" xfId="53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14" fontId="49" fillId="2" borderId="18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49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14" fontId="3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4" fontId="79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1" xfId="52" applyFont="1" applyFill="1" applyBorder="1" applyAlignment="1">
      <alignment horizontal="center" vertical="center" wrapText="1"/>
    </xf>
    <xf numFmtId="43" fontId="13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 applyProtection="1">
      <alignment horizontal="center" vertical="center" wrapText="1"/>
    </xf>
    <xf numFmtId="176" fontId="6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 applyProtection="1">
      <alignment horizontal="center" vertical="center" wrapText="1"/>
    </xf>
    <xf numFmtId="43" fontId="21" fillId="0" borderId="1" xfId="0" applyNumberFormat="1" applyFont="1" applyFill="1" applyBorder="1" applyAlignment="1" applyProtection="1">
      <alignment horizontal="center" vertical="center" wrapText="1"/>
    </xf>
    <xf numFmtId="43" fontId="80" fillId="2" borderId="1" xfId="0" applyNumberFormat="1" applyFont="1" applyFill="1" applyBorder="1" applyAlignment="1" applyProtection="1">
      <alignment horizontal="center" vertical="center" wrapText="1"/>
    </xf>
    <xf numFmtId="43" fontId="20" fillId="0" borderId="1" xfId="0" applyNumberFormat="1" applyFont="1" applyFill="1" applyBorder="1" applyAlignment="1" applyProtection="1">
      <alignment horizontal="center" vertical="center" wrapText="1"/>
    </xf>
    <xf numFmtId="43" fontId="18" fillId="0" borderId="1" xfId="0" applyNumberFormat="1" applyFont="1" applyFill="1" applyBorder="1" applyAlignment="1" applyProtection="1">
      <alignment horizontal="center" vertical="center" wrapText="1"/>
    </xf>
    <xf numFmtId="43" fontId="18" fillId="2" borderId="1" xfId="0" applyNumberFormat="1" applyFont="1" applyFill="1" applyBorder="1" applyAlignment="1" applyProtection="1">
      <alignment horizontal="center" vertical="center" wrapText="1"/>
    </xf>
    <xf numFmtId="43" fontId="38" fillId="2" borderId="1" xfId="0" applyNumberFormat="1" applyFont="1" applyFill="1" applyBorder="1" applyAlignment="1" applyProtection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3" fontId="23" fillId="2" borderId="1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43" fontId="14" fillId="2" borderId="1" xfId="54" applyNumberFormat="1" applyFont="1" applyFill="1" applyBorder="1" applyAlignment="1">
      <alignment horizontal="center" vertical="center" wrapText="1"/>
    </xf>
    <xf numFmtId="43" fontId="14" fillId="2" borderId="3" xfId="0" applyNumberFormat="1" applyFont="1" applyFill="1" applyBorder="1" applyAlignment="1">
      <alignment horizontal="center" vertical="center" wrapText="1"/>
    </xf>
    <xf numFmtId="43" fontId="14" fillId="2" borderId="3" xfId="54" applyNumberFormat="1" applyFont="1" applyFill="1" applyBorder="1" applyAlignment="1">
      <alignment horizontal="center" vertical="center" wrapText="1"/>
    </xf>
    <xf numFmtId="176" fontId="10" fillId="2" borderId="3" xfId="51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43" fontId="79" fillId="2" borderId="1" xfId="0" applyNumberFormat="1" applyFont="1" applyFill="1" applyBorder="1" applyAlignment="1">
      <alignment horizontal="center" vertical="center" wrapText="1"/>
    </xf>
    <xf numFmtId="176" fontId="81" fillId="0" borderId="1" xfId="54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center" vertical="center" wrapText="1"/>
    </xf>
    <xf numFmtId="43" fontId="23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3" borderId="0" xfId="0" applyFill="1">
      <alignment vertical="center"/>
    </xf>
    <xf numFmtId="176" fontId="53" fillId="9" borderId="1" xfId="49" applyNumberFormat="1" applyFont="1" applyFill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53" fillId="0" borderId="1" xfId="49" applyNumberFormat="1" applyFont="1" applyFill="1" applyBorder="1" applyAlignment="1">
      <alignment horizontal="center" vertical="center" wrapText="1"/>
    </xf>
    <xf numFmtId="0" fontId="10" fillId="0" borderId="1" xfId="51" applyNumberForma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176" fontId="44" fillId="4" borderId="1" xfId="0" applyNumberFormat="1" applyFont="1" applyFill="1" applyBorder="1" applyAlignment="1">
      <alignment horizontal="center" vertical="center"/>
    </xf>
    <xf numFmtId="43" fontId="39" fillId="9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25" fillId="7" borderId="6" xfId="0" applyFont="1" applyFill="1" applyBorder="1" applyAlignment="1" applyProtection="1">
      <alignment horizontal="center" vertical="center"/>
    </xf>
    <xf numFmtId="14" fontId="31" fillId="0" borderId="6" xfId="0" applyNumberFormat="1" applyFont="1" applyFill="1" applyBorder="1" applyAlignment="1" applyProtection="1">
      <alignment horizontal="center" vertical="center"/>
    </xf>
    <xf numFmtId="0" fontId="25" fillId="7" borderId="4" xfId="0" applyFont="1" applyFill="1" applyBorder="1" applyAlignment="1" applyProtection="1">
      <alignment horizontal="center" vertical="center"/>
    </xf>
    <xf numFmtId="14" fontId="31" fillId="0" borderId="4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27" fillId="9" borderId="2" xfId="0" applyFont="1" applyFill="1" applyBorder="1" applyAlignment="1" applyProtection="1">
      <alignment horizontal="center" vertical="center" wrapText="1"/>
    </xf>
    <xf numFmtId="0" fontId="39" fillId="0" borderId="1" xfId="50" applyFont="1" applyFill="1" applyBorder="1" applyAlignment="1">
      <alignment horizontal="center" vertical="center" wrapText="1"/>
    </xf>
    <xf numFmtId="0" fontId="27" fillId="9" borderId="1" xfId="0" applyNumberFormat="1" applyFont="1" applyFill="1" applyBorder="1" applyAlignment="1" applyProtection="1">
      <alignment horizontal="center" vertical="center" wrapText="1"/>
    </xf>
    <xf numFmtId="0" fontId="39" fillId="9" borderId="1" xfId="50" applyFont="1" applyFill="1" applyBorder="1" applyAlignment="1">
      <alignment horizontal="center" vertical="center" wrapText="1"/>
    </xf>
    <xf numFmtId="0" fontId="39" fillId="9" borderId="1" xfId="0" applyNumberFormat="1" applyFont="1" applyFill="1" applyBorder="1" applyAlignment="1" applyProtection="1">
      <alignment horizontal="center" vertical="center" wrapText="1"/>
    </xf>
    <xf numFmtId="0" fontId="39" fillId="9" borderId="2" xfId="0" applyFont="1" applyFill="1" applyBorder="1" applyAlignment="1" applyProtection="1">
      <alignment horizontal="center" vertical="center" wrapText="1"/>
    </xf>
    <xf numFmtId="0" fontId="39" fillId="9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17" borderId="1" xfId="5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6" fontId="81" fillId="0" borderId="1" xfId="0" applyNumberFormat="1" applyFont="1" applyFill="1" applyBorder="1" applyAlignment="1">
      <alignment horizontal="center" vertical="center"/>
    </xf>
    <xf numFmtId="43" fontId="81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43" fontId="10" fillId="0" borderId="1" xfId="51" applyNumberForma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/>
    </xf>
    <xf numFmtId="43" fontId="10" fillId="0" borderId="1" xfId="51" applyNumberFormat="1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82" fillId="0" borderId="0" xfId="0" applyFont="1" applyAlignment="1">
      <alignment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  <cellStyle name="常规 2 2 11" xfId="52"/>
    <cellStyle name="常规_Sheet1" xfId="53"/>
    <cellStyle name="常规 8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afr5c5e7ig9k22\FileStorage\File\2025-05\&#19978;&#28023;&#20013;&#39640;&#30707;&#27827;&#23376;&#20998;&#20844;&#21496;&#20116;&#38505;&#19968;&#37329;&#26126;&#32454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2024.12"/>
      <sheetName val="2025.01"/>
      <sheetName val="2025.02"/>
      <sheetName val="2025.03"/>
      <sheetName val="2025.04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姓名</v>
          </cell>
          <cell r="C3" t="str">
            <v>身份证号码</v>
          </cell>
          <cell r="D3" t="str">
            <v>五险基数</v>
          </cell>
          <cell r="E3" t="str">
            <v>公积金基数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职工大额医疗互助保险</v>
          </cell>
        </row>
        <row r="3">
          <cell r="O3" t="str">
            <v>合计</v>
          </cell>
        </row>
        <row r="4">
          <cell r="F4" t="str">
            <v>单位
(16%)</v>
          </cell>
          <cell r="G4" t="str">
            <v>个人
(8%)</v>
          </cell>
          <cell r="H4" t="str">
            <v>单位（0.4%)</v>
          </cell>
          <cell r="I4" t="str">
            <v>单位（0.5%）</v>
          </cell>
          <cell r="J4" t="str">
            <v>个人（0.5%）</v>
          </cell>
          <cell r="K4" t="str">
            <v>单位(10%)</v>
          </cell>
          <cell r="L4" t="str">
            <v>个人
(2%)</v>
          </cell>
          <cell r="M4" t="str">
            <v>单位（0.25%）</v>
          </cell>
          <cell r="N4" t="str">
            <v>个人（0.25%）</v>
          </cell>
          <cell r="O4" t="str">
            <v>单位</v>
          </cell>
          <cell r="P4" t="str">
            <v>个人</v>
          </cell>
        </row>
        <row r="5">
          <cell r="B5" t="str">
            <v>陈苗苗</v>
          </cell>
          <cell r="C5" t="str">
            <v>340321198612308923</v>
          </cell>
          <cell r="D5" t="str">
            <v>4,999.00</v>
          </cell>
        </row>
        <row r="5">
          <cell r="F5">
            <v>799.84</v>
          </cell>
          <cell r="G5">
            <v>399.92</v>
          </cell>
          <cell r="H5">
            <v>20</v>
          </cell>
          <cell r="I5">
            <v>25</v>
          </cell>
          <cell r="J5">
            <v>25</v>
          </cell>
          <cell r="K5">
            <v>499.9</v>
          </cell>
          <cell r="L5">
            <v>99.98</v>
          </cell>
          <cell r="M5">
            <v>12.5</v>
          </cell>
          <cell r="N5">
            <v>12.5</v>
          </cell>
          <cell r="O5">
            <v>1357.24</v>
          </cell>
          <cell r="P5">
            <v>537.4</v>
          </cell>
        </row>
        <row r="6">
          <cell r="B6" t="str">
            <v>付能英</v>
          </cell>
          <cell r="C6" t="str">
            <v>513432197507120026</v>
          </cell>
          <cell r="D6" t="str">
            <v>4,999.00</v>
          </cell>
        </row>
        <row r="6">
          <cell r="F6">
            <v>799.84</v>
          </cell>
          <cell r="G6">
            <v>399.92</v>
          </cell>
          <cell r="H6">
            <v>20</v>
          </cell>
          <cell r="I6">
            <v>25</v>
          </cell>
          <cell r="J6">
            <v>25</v>
          </cell>
          <cell r="K6">
            <v>499.9</v>
          </cell>
          <cell r="L6">
            <v>99.98</v>
          </cell>
          <cell r="M6">
            <v>12.5</v>
          </cell>
          <cell r="N6">
            <v>12.5</v>
          </cell>
          <cell r="O6">
            <v>1357.24</v>
          </cell>
          <cell r="P6">
            <v>537.4</v>
          </cell>
        </row>
        <row r="7">
          <cell r="B7" t="str">
            <v>贺宝珠</v>
          </cell>
          <cell r="C7" t="str">
            <v>65030019740503302X</v>
          </cell>
          <cell r="D7" t="str">
            <v>4,999.00</v>
          </cell>
        </row>
        <row r="7">
          <cell r="F7">
            <v>799.84</v>
          </cell>
          <cell r="G7">
            <v>399.92</v>
          </cell>
          <cell r="H7">
            <v>20</v>
          </cell>
          <cell r="I7">
            <v>25</v>
          </cell>
          <cell r="J7">
            <v>25</v>
          </cell>
          <cell r="K7">
            <v>499.9</v>
          </cell>
          <cell r="L7">
            <v>99.98</v>
          </cell>
          <cell r="M7">
            <v>12.5</v>
          </cell>
          <cell r="N7">
            <v>12.5</v>
          </cell>
          <cell r="O7">
            <v>1357.24</v>
          </cell>
          <cell r="P7">
            <v>537.4</v>
          </cell>
        </row>
        <row r="8">
          <cell r="B8" t="str">
            <v>况勇</v>
          </cell>
          <cell r="C8" t="str">
            <v>65030019691201091X</v>
          </cell>
          <cell r="D8" t="str">
            <v>4,999.00</v>
          </cell>
        </row>
        <row r="8">
          <cell r="F8">
            <v>799.84</v>
          </cell>
          <cell r="G8">
            <v>399.92</v>
          </cell>
          <cell r="H8">
            <v>20</v>
          </cell>
          <cell r="I8">
            <v>25</v>
          </cell>
          <cell r="J8">
            <v>25</v>
          </cell>
          <cell r="K8">
            <v>499.9</v>
          </cell>
          <cell r="L8">
            <v>99.98</v>
          </cell>
          <cell r="M8">
            <v>12.5</v>
          </cell>
          <cell r="N8">
            <v>12.5</v>
          </cell>
          <cell r="O8">
            <v>1357.24</v>
          </cell>
          <cell r="P8">
            <v>537.4</v>
          </cell>
        </row>
        <row r="9">
          <cell r="B9" t="str">
            <v>李惠玲</v>
          </cell>
          <cell r="C9" t="str">
            <v>620402197204290049</v>
          </cell>
          <cell r="D9" t="str">
            <v>4,999.00</v>
          </cell>
        </row>
        <row r="9">
          <cell r="F9">
            <v>799.84</v>
          </cell>
          <cell r="G9">
            <v>399.92</v>
          </cell>
          <cell r="H9">
            <v>20</v>
          </cell>
          <cell r="I9">
            <v>25</v>
          </cell>
          <cell r="J9">
            <v>25</v>
          </cell>
          <cell r="K9">
            <v>499.9</v>
          </cell>
          <cell r="L9">
            <v>99.98</v>
          </cell>
          <cell r="M9">
            <v>12.5</v>
          </cell>
          <cell r="N9">
            <v>12.5</v>
          </cell>
          <cell r="O9">
            <v>1357.24</v>
          </cell>
          <cell r="P9">
            <v>537.4</v>
          </cell>
        </row>
        <row r="10">
          <cell r="B10" t="str">
            <v>刘芳</v>
          </cell>
          <cell r="C10" t="str">
            <v>650300196908151824</v>
          </cell>
          <cell r="D10" t="str">
            <v>4,999.00</v>
          </cell>
        </row>
        <row r="10">
          <cell r="F10">
            <v>799.84</v>
          </cell>
          <cell r="G10">
            <v>399.92</v>
          </cell>
          <cell r="H10">
            <v>20</v>
          </cell>
          <cell r="I10">
            <v>25</v>
          </cell>
          <cell r="J10">
            <v>25</v>
          </cell>
          <cell r="K10">
            <v>499.9</v>
          </cell>
          <cell r="L10">
            <v>99.98</v>
          </cell>
          <cell r="M10">
            <v>12.5</v>
          </cell>
          <cell r="N10">
            <v>12.5</v>
          </cell>
          <cell r="O10">
            <v>1357.24</v>
          </cell>
          <cell r="P10">
            <v>537.4</v>
          </cell>
        </row>
        <row r="11">
          <cell r="B11" t="str">
            <v>刘雪梅</v>
          </cell>
          <cell r="C11" t="str">
            <v>650300197010235444</v>
          </cell>
          <cell r="D11" t="str">
            <v>4,999.00</v>
          </cell>
        </row>
        <row r="11">
          <cell r="F11">
            <v>799.84</v>
          </cell>
          <cell r="G11">
            <v>399.92</v>
          </cell>
          <cell r="H11">
            <v>20</v>
          </cell>
          <cell r="I11">
            <v>25</v>
          </cell>
          <cell r="J11">
            <v>25</v>
          </cell>
          <cell r="K11">
            <v>499.9</v>
          </cell>
          <cell r="L11">
            <v>99.98</v>
          </cell>
          <cell r="M11">
            <v>12.5</v>
          </cell>
          <cell r="N11">
            <v>12.5</v>
          </cell>
          <cell r="O11">
            <v>1357.24</v>
          </cell>
          <cell r="P11">
            <v>537.4</v>
          </cell>
        </row>
        <row r="12">
          <cell r="B12" t="str">
            <v>龙霖</v>
          </cell>
          <cell r="C12" t="str">
            <v>650300197306114828</v>
          </cell>
          <cell r="D12" t="str">
            <v>4,999.00</v>
          </cell>
        </row>
        <row r="12">
          <cell r="F12">
            <v>799.84</v>
          </cell>
          <cell r="G12">
            <v>399.92</v>
          </cell>
          <cell r="H12">
            <v>20</v>
          </cell>
          <cell r="I12">
            <v>25</v>
          </cell>
          <cell r="J12">
            <v>25</v>
          </cell>
          <cell r="K12">
            <v>499.9</v>
          </cell>
          <cell r="L12">
            <v>99.98</v>
          </cell>
          <cell r="M12">
            <v>12.5</v>
          </cell>
          <cell r="N12">
            <v>12.5</v>
          </cell>
          <cell r="O12">
            <v>1357.24</v>
          </cell>
          <cell r="P12">
            <v>537.4</v>
          </cell>
        </row>
        <row r="13">
          <cell r="B13" t="str">
            <v>罗曼</v>
          </cell>
          <cell r="C13" t="str">
            <v>65900119920115592X</v>
          </cell>
          <cell r="D13" t="str">
            <v>4,999.00</v>
          </cell>
          <cell r="E13">
            <v>1700</v>
          </cell>
          <cell r="F13">
            <v>799.84</v>
          </cell>
          <cell r="G13">
            <v>399.92</v>
          </cell>
          <cell r="H13">
            <v>20</v>
          </cell>
          <cell r="I13">
            <v>25</v>
          </cell>
          <cell r="J13">
            <v>25</v>
          </cell>
          <cell r="K13">
            <v>499.9</v>
          </cell>
          <cell r="L13">
            <v>99.98</v>
          </cell>
          <cell r="M13">
            <v>12.5</v>
          </cell>
          <cell r="N13">
            <v>12.5</v>
          </cell>
          <cell r="O13">
            <v>1357.24</v>
          </cell>
          <cell r="P13">
            <v>537.4</v>
          </cell>
        </row>
        <row r="14">
          <cell r="B14" t="str">
            <v>聂珊珊</v>
          </cell>
          <cell r="C14" t="str">
            <v>411481200206213321</v>
          </cell>
          <cell r="D14" t="str">
            <v>4,999.00</v>
          </cell>
          <cell r="E14">
            <v>1700</v>
          </cell>
          <cell r="F14">
            <v>799.84</v>
          </cell>
          <cell r="G14">
            <v>399.92</v>
          </cell>
          <cell r="H14">
            <v>20</v>
          </cell>
          <cell r="I14">
            <v>25</v>
          </cell>
          <cell r="J14">
            <v>25</v>
          </cell>
          <cell r="K14">
            <v>499.9</v>
          </cell>
          <cell r="L14">
            <v>99.98</v>
          </cell>
          <cell r="M14">
            <v>12.5</v>
          </cell>
          <cell r="N14">
            <v>12.5</v>
          </cell>
          <cell r="O14">
            <v>1357.24</v>
          </cell>
          <cell r="P14">
            <v>537.4</v>
          </cell>
        </row>
        <row r="15">
          <cell r="B15" t="str">
            <v>王梅</v>
          </cell>
          <cell r="C15" t="str">
            <v>659001197905240023</v>
          </cell>
          <cell r="D15" t="str">
            <v>4,999.00</v>
          </cell>
        </row>
        <row r="15">
          <cell r="F15">
            <v>799.84</v>
          </cell>
          <cell r="G15">
            <v>399.92</v>
          </cell>
          <cell r="H15">
            <v>20</v>
          </cell>
          <cell r="I15">
            <v>25</v>
          </cell>
          <cell r="J15">
            <v>25</v>
          </cell>
          <cell r="K15">
            <v>499.9</v>
          </cell>
          <cell r="L15">
            <v>99.98</v>
          </cell>
          <cell r="M15">
            <v>12.5</v>
          </cell>
          <cell r="N15">
            <v>12.5</v>
          </cell>
          <cell r="O15">
            <v>1357.24</v>
          </cell>
          <cell r="P15">
            <v>537.4</v>
          </cell>
        </row>
        <row r="16">
          <cell r="B16" t="str">
            <v>严涛</v>
          </cell>
          <cell r="C16" t="str">
            <v>654223197411201846</v>
          </cell>
          <cell r="D16" t="str">
            <v>4,999.00</v>
          </cell>
        </row>
        <row r="16">
          <cell r="F16">
            <v>799.84</v>
          </cell>
          <cell r="G16">
            <v>399.92</v>
          </cell>
          <cell r="H16">
            <v>20</v>
          </cell>
          <cell r="I16">
            <v>25</v>
          </cell>
          <cell r="J16">
            <v>25</v>
          </cell>
          <cell r="K16">
            <v>499.9</v>
          </cell>
          <cell r="L16">
            <v>99.98</v>
          </cell>
          <cell r="M16">
            <v>12.5</v>
          </cell>
          <cell r="N16">
            <v>12.5</v>
          </cell>
          <cell r="O16">
            <v>1357.24</v>
          </cell>
          <cell r="P16">
            <v>537.4</v>
          </cell>
        </row>
        <row r="17">
          <cell r="B17" t="str">
            <v>张海娥</v>
          </cell>
          <cell r="C17" t="str">
            <v>342221198007181043</v>
          </cell>
          <cell r="D17" t="str">
            <v>4,999.00</v>
          </cell>
        </row>
        <row r="17">
          <cell r="F17">
            <v>799.84</v>
          </cell>
          <cell r="G17">
            <v>399.92</v>
          </cell>
          <cell r="H17">
            <v>20</v>
          </cell>
          <cell r="I17">
            <v>25</v>
          </cell>
          <cell r="J17">
            <v>25</v>
          </cell>
          <cell r="K17">
            <v>499.9</v>
          </cell>
          <cell r="L17">
            <v>99.98</v>
          </cell>
          <cell r="M17">
            <v>12.5</v>
          </cell>
          <cell r="N17">
            <v>12.5</v>
          </cell>
          <cell r="O17">
            <v>1357.24</v>
          </cell>
          <cell r="P17">
            <v>537.4</v>
          </cell>
        </row>
        <row r="18">
          <cell r="B18" t="str">
            <v>周钰翔</v>
          </cell>
          <cell r="C18" t="str">
            <v>659001200408080318</v>
          </cell>
          <cell r="D18" t="str">
            <v>4,999.00</v>
          </cell>
        </row>
        <row r="18">
          <cell r="F18">
            <v>799.84</v>
          </cell>
          <cell r="G18">
            <v>399.92</v>
          </cell>
          <cell r="H18">
            <v>20</v>
          </cell>
          <cell r="I18">
            <v>25</v>
          </cell>
          <cell r="J18">
            <v>25</v>
          </cell>
          <cell r="K18">
            <v>499.9</v>
          </cell>
          <cell r="L18">
            <v>99.98</v>
          </cell>
          <cell r="M18">
            <v>12.5</v>
          </cell>
          <cell r="N18">
            <v>12.5</v>
          </cell>
          <cell r="O18">
            <v>1357.24</v>
          </cell>
          <cell r="P18">
            <v>537.4</v>
          </cell>
        </row>
        <row r="19">
          <cell r="B19" t="str">
            <v>顾龙华</v>
          </cell>
          <cell r="C19" t="str">
            <v>652324196603053839</v>
          </cell>
          <cell r="D19" t="str">
            <v>4,999.00</v>
          </cell>
        </row>
        <row r="19">
          <cell r="F19">
            <v>799.84</v>
          </cell>
          <cell r="G19">
            <v>399.92</v>
          </cell>
          <cell r="H19">
            <v>20</v>
          </cell>
          <cell r="I19">
            <v>25</v>
          </cell>
          <cell r="J19">
            <v>25</v>
          </cell>
          <cell r="K19">
            <v>499.9</v>
          </cell>
          <cell r="L19">
            <v>99.98</v>
          </cell>
          <cell r="M19">
            <v>12.5</v>
          </cell>
          <cell r="N19">
            <v>12.5</v>
          </cell>
          <cell r="O19">
            <v>1357.24</v>
          </cell>
          <cell r="P19">
            <v>537.4</v>
          </cell>
        </row>
        <row r="20">
          <cell r="B20" t="str">
            <v>马靖宇</v>
          </cell>
          <cell r="C20" t="str">
            <v>65900119940623121X</v>
          </cell>
          <cell r="D20" t="str">
            <v>4,999.00</v>
          </cell>
        </row>
        <row r="20">
          <cell r="F20">
            <v>799.84</v>
          </cell>
          <cell r="G20">
            <v>399.92</v>
          </cell>
          <cell r="H20">
            <v>20</v>
          </cell>
          <cell r="I20">
            <v>25</v>
          </cell>
          <cell r="J20">
            <v>25</v>
          </cell>
          <cell r="K20">
            <v>499.9</v>
          </cell>
          <cell r="L20">
            <v>99.98</v>
          </cell>
          <cell r="M20">
            <v>12.5</v>
          </cell>
          <cell r="N20">
            <v>12.5</v>
          </cell>
          <cell r="O20">
            <v>1357.24</v>
          </cell>
          <cell r="P20">
            <v>537.4</v>
          </cell>
        </row>
        <row r="21">
          <cell r="B21" t="str">
            <v>李春</v>
          </cell>
          <cell r="C21" t="str">
            <v>652826197902252322</v>
          </cell>
          <cell r="D21" t="str">
            <v>4,999.00</v>
          </cell>
        </row>
        <row r="21">
          <cell r="F21">
            <v>799.84</v>
          </cell>
          <cell r="G21">
            <v>399.92</v>
          </cell>
          <cell r="H21">
            <v>20</v>
          </cell>
          <cell r="I21">
            <v>25</v>
          </cell>
          <cell r="J21">
            <v>25</v>
          </cell>
          <cell r="K21">
            <v>499.9</v>
          </cell>
          <cell r="L21">
            <v>99.98</v>
          </cell>
          <cell r="M21">
            <v>12.5</v>
          </cell>
          <cell r="N21">
            <v>12.5</v>
          </cell>
          <cell r="O21">
            <v>1357.24</v>
          </cell>
          <cell r="P21">
            <v>537.4</v>
          </cell>
        </row>
        <row r="22">
          <cell r="B22" t="str">
            <v>张玉静</v>
          </cell>
          <cell r="C22" t="str">
            <v>230229197504281247</v>
          </cell>
          <cell r="D22" t="str">
            <v>4,999.00</v>
          </cell>
        </row>
        <row r="22">
          <cell r="F22">
            <v>799.84</v>
          </cell>
          <cell r="G22">
            <v>399.92</v>
          </cell>
          <cell r="H22">
            <v>20</v>
          </cell>
          <cell r="I22">
            <v>25</v>
          </cell>
          <cell r="J22">
            <v>25</v>
          </cell>
          <cell r="K22">
            <v>499.9</v>
          </cell>
          <cell r="L22">
            <v>99.98</v>
          </cell>
          <cell r="M22">
            <v>12.5</v>
          </cell>
          <cell r="N22">
            <v>12.5</v>
          </cell>
          <cell r="O22">
            <v>1357.24</v>
          </cell>
          <cell r="P22">
            <v>537.4</v>
          </cell>
        </row>
        <row r="23">
          <cell r="B23" t="str">
            <v>吴文香</v>
          </cell>
          <cell r="C23" t="str">
            <v>511922197604285124</v>
          </cell>
          <cell r="D23" t="str">
            <v>4,999.00</v>
          </cell>
        </row>
        <row r="23">
          <cell r="F23">
            <v>799.84</v>
          </cell>
          <cell r="G23">
            <v>399.92</v>
          </cell>
          <cell r="H23">
            <v>20</v>
          </cell>
          <cell r="I23">
            <v>25</v>
          </cell>
          <cell r="J23">
            <v>25</v>
          </cell>
          <cell r="K23">
            <v>499.9</v>
          </cell>
          <cell r="L23">
            <v>99.98</v>
          </cell>
          <cell r="M23">
            <v>12.5</v>
          </cell>
          <cell r="N23">
            <v>12.5</v>
          </cell>
          <cell r="O23">
            <v>1357.24</v>
          </cell>
          <cell r="P23">
            <v>537.4</v>
          </cell>
        </row>
        <row r="24">
          <cell r="B24" t="str">
            <v>李嘉欣</v>
          </cell>
          <cell r="C24" t="str">
            <v>659001199704100920</v>
          </cell>
          <cell r="D24" t="str">
            <v>4,999.00</v>
          </cell>
        </row>
        <row r="24">
          <cell r="F24">
            <v>799.84</v>
          </cell>
          <cell r="G24">
            <v>399.92</v>
          </cell>
          <cell r="H24">
            <v>20</v>
          </cell>
          <cell r="I24">
            <v>25</v>
          </cell>
          <cell r="J24">
            <v>25</v>
          </cell>
          <cell r="K24">
            <v>499.9</v>
          </cell>
          <cell r="L24">
            <v>99.98</v>
          </cell>
          <cell r="M24">
            <v>12.5</v>
          </cell>
          <cell r="N24">
            <v>12.5</v>
          </cell>
          <cell r="O24">
            <v>1357.24</v>
          </cell>
          <cell r="P24">
            <v>537.4</v>
          </cell>
        </row>
        <row r="25">
          <cell r="B25" t="str">
            <v>滕建琼</v>
          </cell>
          <cell r="C25" t="str">
            <v>659001197311060922</v>
          </cell>
          <cell r="D25" t="str">
            <v>4,999.00</v>
          </cell>
        </row>
        <row r="25">
          <cell r="F25">
            <v>799.84</v>
          </cell>
          <cell r="G25">
            <v>399.92</v>
          </cell>
          <cell r="H25">
            <v>20</v>
          </cell>
          <cell r="I25">
            <v>25</v>
          </cell>
          <cell r="J25">
            <v>25</v>
          </cell>
          <cell r="K25">
            <v>499.9</v>
          </cell>
          <cell r="L25">
            <v>99.98</v>
          </cell>
          <cell r="M25">
            <v>12.5</v>
          </cell>
          <cell r="N25">
            <v>12.5</v>
          </cell>
          <cell r="O25">
            <v>1357.24</v>
          </cell>
          <cell r="P25">
            <v>537.4</v>
          </cell>
        </row>
        <row r="26">
          <cell r="B26" t="str">
            <v>杨俊霞</v>
          </cell>
          <cell r="C26" t="str">
            <v>65030019700602592X</v>
          </cell>
          <cell r="D26" t="str">
            <v>1427.96</v>
          </cell>
        </row>
        <row r="26">
          <cell r="M26">
            <v>18.14</v>
          </cell>
        </row>
        <row r="26">
          <cell r="O26">
            <v>18.14</v>
          </cell>
          <cell r="P26">
            <v>0</v>
          </cell>
        </row>
        <row r="27">
          <cell r="B27" t="str">
            <v>陈玲玲</v>
          </cell>
          <cell r="C27" t="str">
            <v>650300197305305964</v>
          </cell>
          <cell r="D27" t="str">
            <v>3629.75</v>
          </cell>
        </row>
        <row r="27">
          <cell r="M27">
            <v>3.57</v>
          </cell>
        </row>
        <row r="27">
          <cell r="O27">
            <v>3.57</v>
          </cell>
          <cell r="P27">
            <v>0</v>
          </cell>
        </row>
        <row r="28">
          <cell r="F28">
            <v>16796.64</v>
          </cell>
          <cell r="G28">
            <v>8398.32</v>
          </cell>
          <cell r="H28">
            <v>420</v>
          </cell>
          <cell r="I28">
            <v>525</v>
          </cell>
          <cell r="J28">
            <v>525</v>
          </cell>
          <cell r="K28">
            <v>10497.9</v>
          </cell>
          <cell r="L28">
            <v>2099.58</v>
          </cell>
          <cell r="M28">
            <v>284.21</v>
          </cell>
          <cell r="N28">
            <v>262.5</v>
          </cell>
          <cell r="O28">
            <v>28523.75</v>
          </cell>
          <cell r="P28">
            <v>11285.4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6"/>
  <sheetViews>
    <sheetView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C1" sqref="C$1:S$1048576"/>
    </sheetView>
  </sheetViews>
  <sheetFormatPr defaultColWidth="9.23333333333333" defaultRowHeight="15.75"/>
  <cols>
    <col min="2" max="2" width="19.7083333333333" customWidth="1"/>
    <col min="3" max="3" width="9.23333333333333" hidden="1" customWidth="1"/>
    <col min="4" max="4" width="12.125" hidden="1" customWidth="1"/>
    <col min="5" max="14" width="9.23333333333333" hidden="1" customWidth="1"/>
    <col min="15" max="15" width="23.375" hidden="1" customWidth="1"/>
    <col min="16" max="18" width="9.23333333333333" hidden="1" customWidth="1"/>
    <col min="19" max="19" width="14.5" hidden="1" customWidth="1"/>
    <col min="20" max="20" width="11.625" customWidth="1"/>
    <col min="21" max="24" width="10.375" customWidth="1"/>
    <col min="25" max="25" width="9.25" customWidth="1"/>
    <col min="26" max="26" width="10.375" customWidth="1"/>
    <col min="27" max="27" width="11.625" customWidth="1"/>
    <col min="30" max="30" width="10.375"/>
    <col min="32" max="32" width="10.375"/>
    <col min="33" max="33" width="9.25"/>
    <col min="34" max="34" width="10.375"/>
    <col min="35" max="35" width="9.375"/>
    <col min="36" max="36" width="16.125" customWidth="1"/>
    <col min="40" max="41" width="9.375"/>
    <col min="42" max="42" width="10.375"/>
    <col min="43" max="43" width="12.225" customWidth="1"/>
    <col min="44" max="44" width="11.625"/>
    <col min="46" max="46" width="25" customWidth="1"/>
  </cols>
  <sheetData>
    <row r="1" customFormat="1" spans="1:45">
      <c r="A1" s="625" t="s">
        <v>0</v>
      </c>
      <c r="B1" s="626" t="s">
        <v>1</v>
      </c>
      <c r="C1" s="626" t="s">
        <v>2</v>
      </c>
      <c r="D1" s="626" t="s">
        <v>3</v>
      </c>
      <c r="E1" s="626" t="s">
        <v>4</v>
      </c>
      <c r="F1" s="626" t="s">
        <v>5</v>
      </c>
      <c r="G1" s="626" t="s">
        <v>6</v>
      </c>
      <c r="H1" s="627" t="s">
        <v>7</v>
      </c>
      <c r="I1" s="626" t="s">
        <v>8</v>
      </c>
      <c r="J1" s="626" t="s">
        <v>9</v>
      </c>
      <c r="K1" s="363" t="s">
        <v>10</v>
      </c>
      <c r="L1" s="626" t="s">
        <v>11</v>
      </c>
      <c r="M1" s="626" t="s">
        <v>12</v>
      </c>
      <c r="N1" s="626" t="s">
        <v>13</v>
      </c>
      <c r="O1" s="626" t="s">
        <v>14</v>
      </c>
      <c r="P1" s="626" t="s">
        <v>15</v>
      </c>
      <c r="Q1" s="626" t="s">
        <v>16</v>
      </c>
      <c r="R1" s="626" t="s">
        <v>17</v>
      </c>
      <c r="S1" s="627" t="s">
        <v>18</v>
      </c>
      <c r="T1" s="661" t="s">
        <v>19</v>
      </c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</row>
    <row r="2" customFormat="1" ht="28.5" spans="1:45">
      <c r="A2" s="628"/>
      <c r="B2" s="238"/>
      <c r="C2" s="238"/>
      <c r="D2" s="238"/>
      <c r="E2" s="238"/>
      <c r="F2" s="238"/>
      <c r="G2" s="238"/>
      <c r="H2" s="239" t="s">
        <v>20</v>
      </c>
      <c r="I2" s="238"/>
      <c r="J2" s="238"/>
      <c r="K2" s="238"/>
      <c r="L2" s="238"/>
      <c r="M2" s="238"/>
      <c r="N2" s="260"/>
      <c r="O2" s="238"/>
      <c r="P2" s="238"/>
      <c r="Q2" s="238"/>
      <c r="R2" s="238"/>
      <c r="S2" s="236"/>
      <c r="T2" s="349" t="s">
        <v>21</v>
      </c>
      <c r="U2" s="349" t="s">
        <v>22</v>
      </c>
      <c r="V2" s="349" t="s">
        <v>23</v>
      </c>
      <c r="W2" s="349" t="s">
        <v>24</v>
      </c>
      <c r="X2" s="349" t="s">
        <v>25</v>
      </c>
      <c r="Y2" s="349" t="s">
        <v>26</v>
      </c>
      <c r="Z2" s="349" t="s">
        <v>27</v>
      </c>
      <c r="AA2" s="666" t="s">
        <v>28</v>
      </c>
      <c r="AB2" s="349" t="s">
        <v>29</v>
      </c>
      <c r="AC2" s="349" t="s">
        <v>27</v>
      </c>
      <c r="AD2" s="349" t="s">
        <v>30</v>
      </c>
      <c r="AE2" s="349" t="s">
        <v>31</v>
      </c>
      <c r="AF2" s="349" t="s">
        <v>32</v>
      </c>
      <c r="AG2" s="349" t="s">
        <v>33</v>
      </c>
      <c r="AH2" s="349" t="s">
        <v>34</v>
      </c>
      <c r="AI2" s="349" t="s">
        <v>35</v>
      </c>
      <c r="AJ2" s="666" t="s">
        <v>36</v>
      </c>
      <c r="AK2" s="666" t="s">
        <v>37</v>
      </c>
      <c r="AL2" s="666" t="s">
        <v>38</v>
      </c>
      <c r="AM2" s="666" t="s">
        <v>39</v>
      </c>
      <c r="AN2" s="349" t="s">
        <v>40</v>
      </c>
      <c r="AO2" s="349" t="s">
        <v>41</v>
      </c>
      <c r="AP2" s="349" t="s">
        <v>42</v>
      </c>
      <c r="AQ2" s="666" t="s">
        <v>43</v>
      </c>
      <c r="AR2" s="666" t="s">
        <v>44</v>
      </c>
      <c r="AS2" s="349" t="s">
        <v>45</v>
      </c>
    </row>
    <row r="3" ht="39" customHeight="1" spans="1:46">
      <c r="A3" s="629">
        <v>1</v>
      </c>
      <c r="B3" s="630" t="s">
        <v>46</v>
      </c>
      <c r="C3" s="631" t="s">
        <v>47</v>
      </c>
      <c r="D3" s="632" t="s">
        <v>48</v>
      </c>
      <c r="E3" s="633" t="s">
        <v>49</v>
      </c>
      <c r="F3" s="434">
        <v>31</v>
      </c>
      <c r="G3" s="116">
        <v>0</v>
      </c>
      <c r="H3" s="116">
        <v>0</v>
      </c>
      <c r="I3" s="116">
        <v>0</v>
      </c>
      <c r="J3" s="116">
        <v>0</v>
      </c>
      <c r="K3" s="116">
        <v>0</v>
      </c>
      <c r="L3" s="116">
        <v>0</v>
      </c>
      <c r="M3" s="116">
        <v>0</v>
      </c>
      <c r="N3" s="116">
        <v>0</v>
      </c>
      <c r="O3" s="116"/>
      <c r="P3" s="116">
        <v>0</v>
      </c>
      <c r="Q3" s="116">
        <v>0</v>
      </c>
      <c r="R3" s="116">
        <v>0</v>
      </c>
      <c r="S3" s="662" t="s">
        <v>50</v>
      </c>
      <c r="T3" s="39">
        <v>2000</v>
      </c>
      <c r="U3" s="39">
        <v>2000</v>
      </c>
      <c r="V3" s="39">
        <v>1000</v>
      </c>
      <c r="W3" s="39">
        <v>1000</v>
      </c>
      <c r="X3" s="39">
        <v>500</v>
      </c>
      <c r="Y3" s="39">
        <v>100</v>
      </c>
      <c r="Z3" s="39">
        <v>1400</v>
      </c>
      <c r="AA3" s="39">
        <f t="shared" ref="AA3:AA12" si="0">SUM(T3:Z3)</f>
        <v>8000</v>
      </c>
      <c r="AB3" s="39"/>
      <c r="AC3" s="39"/>
      <c r="AD3" s="39">
        <v>1000</v>
      </c>
      <c r="AE3" s="667"/>
      <c r="AF3" s="668">
        <v>-450</v>
      </c>
      <c r="AG3" s="668">
        <v>0</v>
      </c>
      <c r="AH3" s="668">
        <v>0</v>
      </c>
      <c r="AI3" s="668">
        <v>0</v>
      </c>
      <c r="AJ3" s="672">
        <f t="shared" ref="AJ3:AJ12" si="1">SUM(AA3:AI3)</f>
        <v>8550</v>
      </c>
      <c r="AK3" s="673">
        <f t="shared" ref="AK3:AK12" si="2">H3</f>
        <v>0</v>
      </c>
      <c r="AL3" s="672">
        <f t="shared" ref="AL3:AL8" si="3">G3*2</f>
        <v>0</v>
      </c>
      <c r="AM3" s="673">
        <f t="shared" ref="AM3:AM12" si="4">AA3/F3*AK3</f>
        <v>0</v>
      </c>
      <c r="AN3" s="668">
        <v>0</v>
      </c>
      <c r="AO3" s="668"/>
      <c r="AP3" s="668">
        <v>634.9</v>
      </c>
      <c r="AQ3" s="667">
        <f>SUM(AL3:AP3)</f>
        <v>634.9</v>
      </c>
      <c r="AR3" s="667">
        <f>AJ3-AQ3</f>
        <v>7915.1</v>
      </c>
      <c r="AS3" s="39"/>
      <c r="AT3" s="677"/>
    </row>
    <row r="4" ht="59" customHeight="1" spans="1:46">
      <c r="A4" s="629">
        <v>2</v>
      </c>
      <c r="B4" s="634" t="s">
        <v>51</v>
      </c>
      <c r="C4" s="635" t="s">
        <v>52</v>
      </c>
      <c r="D4" s="632" t="s">
        <v>53</v>
      </c>
      <c r="E4" s="633" t="s">
        <v>49</v>
      </c>
      <c r="F4" s="434">
        <v>31</v>
      </c>
      <c r="G4" s="116">
        <v>0</v>
      </c>
      <c r="H4" s="116">
        <v>0</v>
      </c>
      <c r="I4" s="116">
        <v>0</v>
      </c>
      <c r="J4" s="116">
        <v>0</v>
      </c>
      <c r="K4" s="652">
        <v>5.7</v>
      </c>
      <c r="L4" s="652">
        <v>1</v>
      </c>
      <c r="M4" s="652">
        <v>0</v>
      </c>
      <c r="N4" s="652">
        <f>SUM(K4+L4-M4)</f>
        <v>6.7</v>
      </c>
      <c r="O4" s="653" t="s">
        <v>54</v>
      </c>
      <c r="P4" s="116">
        <v>0</v>
      </c>
      <c r="Q4" s="116">
        <v>0</v>
      </c>
      <c r="R4" s="116">
        <v>0</v>
      </c>
      <c r="S4" s="116"/>
      <c r="T4" s="663">
        <v>2000</v>
      </c>
      <c r="U4" s="39">
        <v>1000</v>
      </c>
      <c r="V4" s="39">
        <v>1000</v>
      </c>
      <c r="W4" s="39">
        <v>300</v>
      </c>
      <c r="X4" s="39">
        <v>500</v>
      </c>
      <c r="Y4" s="39">
        <v>100</v>
      </c>
      <c r="Z4" s="39">
        <v>100</v>
      </c>
      <c r="AA4" s="39">
        <f t="shared" si="0"/>
        <v>5000</v>
      </c>
      <c r="AB4" s="39">
        <v>10</v>
      </c>
      <c r="AC4" s="39"/>
      <c r="AD4" s="39"/>
      <c r="AE4" s="667"/>
      <c r="AF4" s="668">
        <f>R4</f>
        <v>0</v>
      </c>
      <c r="AG4" s="668">
        <v>0</v>
      </c>
      <c r="AH4" s="668">
        <v>400</v>
      </c>
      <c r="AI4" s="668">
        <v>0</v>
      </c>
      <c r="AJ4" s="672">
        <f t="shared" si="1"/>
        <v>5410</v>
      </c>
      <c r="AK4" s="673">
        <f t="shared" si="2"/>
        <v>0</v>
      </c>
      <c r="AL4" s="672">
        <f t="shared" si="3"/>
        <v>0</v>
      </c>
      <c r="AM4" s="673">
        <f t="shared" si="4"/>
        <v>0</v>
      </c>
      <c r="AN4" s="668">
        <v>7.96</v>
      </c>
      <c r="AO4" s="668"/>
      <c r="AP4" s="678">
        <v>634.9</v>
      </c>
      <c r="AQ4" s="667">
        <f t="shared" ref="AQ4:AQ12" si="5">SUM(AL4:AP4)</f>
        <v>642.86</v>
      </c>
      <c r="AR4" s="667">
        <f t="shared" ref="AR4:AR12" si="6">AJ4-AQ4</f>
        <v>4767.14</v>
      </c>
      <c r="AS4" s="39"/>
      <c r="AT4" s="677"/>
    </row>
    <row r="5" ht="70" customHeight="1" spans="1:46">
      <c r="A5" s="629">
        <v>3</v>
      </c>
      <c r="B5" s="634" t="s">
        <v>55</v>
      </c>
      <c r="C5" s="635" t="s">
        <v>56</v>
      </c>
      <c r="D5" s="632" t="s">
        <v>57</v>
      </c>
      <c r="E5" s="633" t="s">
        <v>49</v>
      </c>
      <c r="F5" s="434">
        <v>31</v>
      </c>
      <c r="G5" s="116">
        <v>0</v>
      </c>
      <c r="H5" s="116">
        <v>0</v>
      </c>
      <c r="I5" s="116">
        <v>0</v>
      </c>
      <c r="J5" s="116">
        <v>0</v>
      </c>
      <c r="K5" s="654">
        <v>2.2</v>
      </c>
      <c r="L5" s="652">
        <v>0.9</v>
      </c>
      <c r="M5" s="652">
        <v>0</v>
      </c>
      <c r="N5" s="652">
        <f>SUM(K5+L5-M5)</f>
        <v>3.1</v>
      </c>
      <c r="O5" s="655" t="s">
        <v>58</v>
      </c>
      <c r="P5" s="116"/>
      <c r="Q5" s="116">
        <v>0</v>
      </c>
      <c r="R5" s="116">
        <v>0</v>
      </c>
      <c r="S5" s="116" t="s">
        <v>59</v>
      </c>
      <c r="T5" s="663">
        <v>2000</v>
      </c>
      <c r="U5" s="39">
        <v>500</v>
      </c>
      <c r="V5" s="39">
        <v>1000</v>
      </c>
      <c r="W5" s="39">
        <v>300</v>
      </c>
      <c r="X5" s="39">
        <v>300</v>
      </c>
      <c r="Y5" s="39">
        <v>100</v>
      </c>
      <c r="Z5" s="39">
        <v>100</v>
      </c>
      <c r="AA5" s="39">
        <f t="shared" si="0"/>
        <v>4300</v>
      </c>
      <c r="AB5" s="39">
        <v>10</v>
      </c>
      <c r="AC5" s="39"/>
      <c r="AD5" s="39">
        <v>500</v>
      </c>
      <c r="AE5" s="667"/>
      <c r="AF5" s="668">
        <v>700</v>
      </c>
      <c r="AG5" s="668">
        <v>0</v>
      </c>
      <c r="AH5" s="668">
        <v>400</v>
      </c>
      <c r="AI5" s="668">
        <v>100</v>
      </c>
      <c r="AJ5" s="672">
        <f t="shared" si="1"/>
        <v>6010</v>
      </c>
      <c r="AK5" s="673">
        <f t="shared" si="2"/>
        <v>0</v>
      </c>
      <c r="AL5" s="672">
        <f t="shared" si="3"/>
        <v>0</v>
      </c>
      <c r="AM5" s="673">
        <f t="shared" si="4"/>
        <v>0</v>
      </c>
      <c r="AN5" s="668">
        <v>10.13</v>
      </c>
      <c r="AO5" s="668"/>
      <c r="AP5" s="668">
        <v>634.9</v>
      </c>
      <c r="AQ5" s="667">
        <f t="shared" si="5"/>
        <v>645.03</v>
      </c>
      <c r="AR5" s="667">
        <f t="shared" si="6"/>
        <v>5364.97</v>
      </c>
      <c r="AS5" s="39"/>
      <c r="AT5" s="677"/>
    </row>
    <row r="6" ht="39" customHeight="1" spans="1:46">
      <c r="A6" s="629">
        <v>4</v>
      </c>
      <c r="B6" s="634" t="s">
        <v>60</v>
      </c>
      <c r="C6" s="635" t="s">
        <v>56</v>
      </c>
      <c r="D6" s="632" t="s">
        <v>61</v>
      </c>
      <c r="E6" s="633" t="s">
        <v>49</v>
      </c>
      <c r="F6" s="434">
        <v>31</v>
      </c>
      <c r="G6" s="116">
        <v>0</v>
      </c>
      <c r="H6" s="116">
        <v>0</v>
      </c>
      <c r="I6" s="116">
        <v>0</v>
      </c>
      <c r="J6" s="116">
        <v>0</v>
      </c>
      <c r="K6" s="652">
        <v>11</v>
      </c>
      <c r="L6" s="652">
        <v>0</v>
      </c>
      <c r="M6" s="652">
        <v>0</v>
      </c>
      <c r="N6" s="652">
        <f>SUM(K6+L6-M6)</f>
        <v>11</v>
      </c>
      <c r="O6" s="655"/>
      <c r="P6" s="116"/>
      <c r="Q6" s="116">
        <v>0</v>
      </c>
      <c r="R6" s="116">
        <v>0</v>
      </c>
      <c r="S6" s="116" t="s">
        <v>59</v>
      </c>
      <c r="T6" s="663">
        <v>1400</v>
      </c>
      <c r="U6" s="39">
        <v>500</v>
      </c>
      <c r="V6" s="39">
        <v>1000</v>
      </c>
      <c r="W6" s="39">
        <v>300</v>
      </c>
      <c r="X6" s="39">
        <v>500</v>
      </c>
      <c r="Y6" s="39">
        <v>100</v>
      </c>
      <c r="Z6" s="39">
        <v>100</v>
      </c>
      <c r="AA6" s="39">
        <f t="shared" si="0"/>
        <v>3900</v>
      </c>
      <c r="AB6" s="39">
        <v>10</v>
      </c>
      <c r="AC6" s="39"/>
      <c r="AD6" s="39">
        <v>500</v>
      </c>
      <c r="AE6" s="667"/>
      <c r="AF6" s="668">
        <v>660</v>
      </c>
      <c r="AG6" s="668">
        <v>100</v>
      </c>
      <c r="AH6" s="668">
        <v>0</v>
      </c>
      <c r="AI6" s="668">
        <v>100</v>
      </c>
      <c r="AJ6" s="672">
        <f t="shared" si="1"/>
        <v>5270</v>
      </c>
      <c r="AK6" s="673">
        <f t="shared" si="2"/>
        <v>0</v>
      </c>
      <c r="AL6" s="672">
        <f t="shared" si="3"/>
        <v>0</v>
      </c>
      <c r="AM6" s="673">
        <f t="shared" si="4"/>
        <v>0</v>
      </c>
      <c r="AN6" s="668"/>
      <c r="AO6" s="668"/>
      <c r="AP6" s="668">
        <v>634.9</v>
      </c>
      <c r="AQ6" s="667">
        <f t="shared" si="5"/>
        <v>634.9</v>
      </c>
      <c r="AR6" s="667">
        <f t="shared" si="6"/>
        <v>4635.1</v>
      </c>
      <c r="AS6" s="39"/>
      <c r="AT6" s="677"/>
    </row>
    <row r="7" s="623" customFormat="1" ht="39" customHeight="1" spans="1:46">
      <c r="A7" s="629">
        <v>5</v>
      </c>
      <c r="B7" s="636" t="s">
        <v>62</v>
      </c>
      <c r="C7" s="637" t="s">
        <v>63</v>
      </c>
      <c r="D7" s="638" t="s">
        <v>64</v>
      </c>
      <c r="E7" s="639" t="s">
        <v>65</v>
      </c>
      <c r="F7" s="434">
        <v>31</v>
      </c>
      <c r="G7" s="640">
        <v>0</v>
      </c>
      <c r="H7" s="640">
        <v>0</v>
      </c>
      <c r="I7" s="640">
        <v>0</v>
      </c>
      <c r="J7" s="640">
        <v>0</v>
      </c>
      <c r="K7" s="656">
        <v>1</v>
      </c>
      <c r="L7" s="657">
        <v>0</v>
      </c>
      <c r="M7" s="657">
        <v>1</v>
      </c>
      <c r="N7" s="657">
        <f>SUM(K7+L7-M7)</f>
        <v>0</v>
      </c>
      <c r="O7" s="658" t="s">
        <v>66</v>
      </c>
      <c r="P7" s="640">
        <v>0</v>
      </c>
      <c r="Q7" s="664"/>
      <c r="R7" s="664"/>
      <c r="S7" s="664"/>
      <c r="T7" s="385">
        <v>2000</v>
      </c>
      <c r="U7" s="385">
        <v>1000</v>
      </c>
      <c r="V7" s="385">
        <v>1000</v>
      </c>
      <c r="W7" s="385">
        <v>300</v>
      </c>
      <c r="X7" s="385">
        <v>500</v>
      </c>
      <c r="Y7" s="385">
        <v>300</v>
      </c>
      <c r="Z7" s="385">
        <v>100</v>
      </c>
      <c r="AA7" s="385">
        <f t="shared" si="0"/>
        <v>5200</v>
      </c>
      <c r="AB7" s="669"/>
      <c r="AC7" s="669"/>
      <c r="AD7" s="669"/>
      <c r="AE7" s="669"/>
      <c r="AF7" s="670"/>
      <c r="AG7" s="670"/>
      <c r="AH7" s="674">
        <v>400</v>
      </c>
      <c r="AI7" s="670"/>
      <c r="AJ7" s="294">
        <f t="shared" si="1"/>
        <v>5600</v>
      </c>
      <c r="AK7" s="675">
        <f t="shared" si="2"/>
        <v>0</v>
      </c>
      <c r="AL7" s="294">
        <f t="shared" si="3"/>
        <v>0</v>
      </c>
      <c r="AM7" s="675">
        <f t="shared" si="4"/>
        <v>0</v>
      </c>
      <c r="AN7" s="670"/>
      <c r="AO7" s="674"/>
      <c r="AP7" s="674">
        <v>634.9</v>
      </c>
      <c r="AQ7" s="667">
        <f t="shared" si="5"/>
        <v>634.9</v>
      </c>
      <c r="AR7" s="667">
        <f t="shared" si="6"/>
        <v>4965.1</v>
      </c>
      <c r="AS7" s="320"/>
      <c r="AT7" s="679"/>
    </row>
    <row r="8" ht="39" customHeight="1" spans="1:46">
      <c r="A8" s="629">
        <v>6</v>
      </c>
      <c r="B8" s="630" t="s">
        <v>67</v>
      </c>
      <c r="C8" s="641" t="s">
        <v>52</v>
      </c>
      <c r="D8" s="642" t="s">
        <v>68</v>
      </c>
      <c r="E8" s="643" t="s">
        <v>65</v>
      </c>
      <c r="F8" s="434">
        <v>31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/>
      <c r="P8" s="116">
        <v>0</v>
      </c>
      <c r="Q8" s="648"/>
      <c r="R8" s="648"/>
      <c r="S8" s="648"/>
      <c r="T8" s="39">
        <v>1400</v>
      </c>
      <c r="U8" s="39">
        <v>500</v>
      </c>
      <c r="V8" s="39">
        <v>1000</v>
      </c>
      <c r="W8" s="39">
        <v>300</v>
      </c>
      <c r="X8" s="39">
        <v>100</v>
      </c>
      <c r="Y8" s="39">
        <v>100</v>
      </c>
      <c r="Z8" s="39">
        <v>100</v>
      </c>
      <c r="AA8" s="39">
        <f t="shared" si="0"/>
        <v>3500</v>
      </c>
      <c r="AB8" s="665"/>
      <c r="AC8" s="665"/>
      <c r="AD8" s="665"/>
      <c r="AE8" s="665"/>
      <c r="AF8" s="671"/>
      <c r="AG8" s="671"/>
      <c r="AH8" s="676">
        <v>400</v>
      </c>
      <c r="AI8" s="671"/>
      <c r="AJ8" s="672">
        <f t="shared" si="1"/>
        <v>3900</v>
      </c>
      <c r="AK8" s="673">
        <f t="shared" si="2"/>
        <v>0</v>
      </c>
      <c r="AL8" s="672">
        <f t="shared" si="3"/>
        <v>0</v>
      </c>
      <c r="AM8" s="673">
        <f t="shared" si="4"/>
        <v>0</v>
      </c>
      <c r="AN8" s="671"/>
      <c r="AO8" s="668"/>
      <c r="AP8" s="668">
        <v>634.9</v>
      </c>
      <c r="AQ8" s="667">
        <f t="shared" si="5"/>
        <v>634.9</v>
      </c>
      <c r="AR8" s="667">
        <f t="shared" si="6"/>
        <v>3265.1</v>
      </c>
      <c r="AS8" s="320"/>
      <c r="AT8" s="677"/>
    </row>
    <row r="9" ht="39" customHeight="1" spans="1:46">
      <c r="A9" s="629">
        <v>7</v>
      </c>
      <c r="B9" s="644" t="s">
        <v>69</v>
      </c>
      <c r="C9" s="641" t="s">
        <v>70</v>
      </c>
      <c r="D9" s="645" t="s">
        <v>71</v>
      </c>
      <c r="E9" s="633" t="s">
        <v>49</v>
      </c>
      <c r="F9" s="434">
        <v>31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653"/>
      <c r="P9" s="116">
        <v>0</v>
      </c>
      <c r="Q9" s="116">
        <v>0</v>
      </c>
      <c r="R9" s="116">
        <v>0</v>
      </c>
      <c r="S9" s="116"/>
      <c r="T9" s="663">
        <v>9000</v>
      </c>
      <c r="U9" s="39">
        <v>1000</v>
      </c>
      <c r="V9" s="39">
        <v>1000</v>
      </c>
      <c r="W9" s="39">
        <v>400</v>
      </c>
      <c r="X9" s="39">
        <v>300</v>
      </c>
      <c r="Y9" s="39">
        <v>200</v>
      </c>
      <c r="Z9" s="39">
        <v>100</v>
      </c>
      <c r="AA9" s="39">
        <f t="shared" si="0"/>
        <v>12000</v>
      </c>
      <c r="AB9" s="39"/>
      <c r="AC9" s="39"/>
      <c r="AD9" s="39"/>
      <c r="AE9" s="667"/>
      <c r="AF9" s="668"/>
      <c r="AG9" s="668"/>
      <c r="AH9" s="668"/>
      <c r="AI9" s="668"/>
      <c r="AJ9" s="672">
        <f t="shared" si="1"/>
        <v>12000</v>
      </c>
      <c r="AK9" s="673">
        <f t="shared" si="2"/>
        <v>0</v>
      </c>
      <c r="AL9" s="672"/>
      <c r="AM9" s="673">
        <f t="shared" si="4"/>
        <v>0</v>
      </c>
      <c r="AN9" s="668"/>
      <c r="AO9" s="668"/>
      <c r="AP9" s="680"/>
      <c r="AQ9" s="667">
        <f t="shared" si="5"/>
        <v>0</v>
      </c>
      <c r="AR9" s="667">
        <f t="shared" si="6"/>
        <v>12000</v>
      </c>
      <c r="AS9" s="39"/>
      <c r="AT9" s="677"/>
    </row>
    <row r="10" ht="32" customHeight="1" spans="1:46">
      <c r="A10" s="629">
        <v>8</v>
      </c>
      <c r="B10" s="646" t="s">
        <v>72</v>
      </c>
      <c r="C10" s="513" t="s">
        <v>73</v>
      </c>
      <c r="D10" s="647" t="s">
        <v>74</v>
      </c>
      <c r="E10" s="643" t="s">
        <v>65</v>
      </c>
      <c r="F10" s="434">
        <v>20</v>
      </c>
      <c r="G10" s="648"/>
      <c r="H10" s="648"/>
      <c r="I10" s="648"/>
      <c r="J10" s="648"/>
      <c r="K10" s="648"/>
      <c r="L10" s="648"/>
      <c r="M10" s="648"/>
      <c r="N10" s="648"/>
      <c r="O10" s="659" t="s">
        <v>75</v>
      </c>
      <c r="P10" s="648"/>
      <c r="Q10" s="648"/>
      <c r="R10" s="648"/>
      <c r="S10" s="648"/>
      <c r="T10" s="159">
        <f>6300/31*20</f>
        <v>4064.51612903226</v>
      </c>
      <c r="U10" s="159"/>
      <c r="V10" s="159"/>
      <c r="W10" s="159"/>
      <c r="X10" s="159"/>
      <c r="Y10" s="159"/>
      <c r="Z10" s="159"/>
      <c r="AA10" s="39">
        <f t="shared" si="0"/>
        <v>4064.51612903226</v>
      </c>
      <c r="AB10" s="665"/>
      <c r="AC10" s="665"/>
      <c r="AD10" s="665"/>
      <c r="AE10" s="665"/>
      <c r="AF10" s="665"/>
      <c r="AG10" s="665"/>
      <c r="AH10" s="665"/>
      <c r="AI10" s="665"/>
      <c r="AJ10" s="672">
        <f t="shared" si="1"/>
        <v>4064.51612903226</v>
      </c>
      <c r="AK10" s="673">
        <f t="shared" si="2"/>
        <v>0</v>
      </c>
      <c r="AL10" s="672">
        <f>G10*2</f>
        <v>0</v>
      </c>
      <c r="AM10" s="673">
        <f t="shared" si="4"/>
        <v>0</v>
      </c>
      <c r="AN10" s="665"/>
      <c r="AO10" s="665"/>
      <c r="AP10" s="668">
        <v>634.9</v>
      </c>
      <c r="AQ10" s="667">
        <f t="shared" si="5"/>
        <v>634.9</v>
      </c>
      <c r="AR10" s="667">
        <f t="shared" si="6"/>
        <v>3429.61612903226</v>
      </c>
      <c r="AS10" s="320"/>
      <c r="AT10" s="681"/>
    </row>
    <row r="11" ht="32" customHeight="1" spans="1:46">
      <c r="A11" s="629">
        <v>9</v>
      </c>
      <c r="B11" s="646" t="s">
        <v>76</v>
      </c>
      <c r="C11" s="513" t="s">
        <v>77</v>
      </c>
      <c r="D11" s="647" t="s">
        <v>78</v>
      </c>
      <c r="E11" s="643" t="s">
        <v>65</v>
      </c>
      <c r="F11" s="434">
        <v>26</v>
      </c>
      <c r="G11" s="648"/>
      <c r="H11" s="648"/>
      <c r="I11" s="648"/>
      <c r="J11" s="648"/>
      <c r="K11" s="648"/>
      <c r="L11" s="648">
        <v>1</v>
      </c>
      <c r="M11" s="648"/>
      <c r="N11" s="648">
        <v>1</v>
      </c>
      <c r="O11" s="660" t="s">
        <v>79</v>
      </c>
      <c r="P11" s="648"/>
      <c r="Q11" s="648"/>
      <c r="R11" s="648"/>
      <c r="S11" s="648"/>
      <c r="T11" s="159">
        <f>4400/31*26</f>
        <v>3690.32258064516</v>
      </c>
      <c r="U11" s="159"/>
      <c r="V11" s="159"/>
      <c r="W11" s="159"/>
      <c r="X11" s="159"/>
      <c r="Y11" s="159"/>
      <c r="Z11" s="159"/>
      <c r="AA11" s="39">
        <f t="shared" si="0"/>
        <v>3690.32258064516</v>
      </c>
      <c r="AB11" s="665"/>
      <c r="AC11" s="665"/>
      <c r="AD11" s="665"/>
      <c r="AE11" s="665"/>
      <c r="AF11" s="665"/>
      <c r="AG11" s="665"/>
      <c r="AH11" s="665"/>
      <c r="AI11" s="665"/>
      <c r="AJ11" s="672">
        <f t="shared" si="1"/>
        <v>3690.32258064516</v>
      </c>
      <c r="AK11" s="673">
        <f t="shared" si="2"/>
        <v>0</v>
      </c>
      <c r="AL11" s="672">
        <f>G11*2</f>
        <v>0</v>
      </c>
      <c r="AM11" s="673">
        <f t="shared" si="4"/>
        <v>0</v>
      </c>
      <c r="AN11" s="665"/>
      <c r="AO11" s="665"/>
      <c r="AP11" s="668">
        <v>634.9</v>
      </c>
      <c r="AQ11" s="667">
        <f t="shared" si="5"/>
        <v>634.9</v>
      </c>
      <c r="AR11" s="667">
        <f t="shared" si="6"/>
        <v>3055.42258064516</v>
      </c>
      <c r="AS11" s="320"/>
      <c r="AT11" s="681"/>
    </row>
    <row r="12" ht="32" customHeight="1" spans="1:46">
      <c r="A12" s="629">
        <v>10</v>
      </c>
      <c r="B12" s="646" t="s">
        <v>80</v>
      </c>
      <c r="C12" s="513" t="s">
        <v>77</v>
      </c>
      <c r="D12" s="647" t="s">
        <v>81</v>
      </c>
      <c r="E12" s="643" t="s">
        <v>65</v>
      </c>
      <c r="F12" s="434">
        <v>6</v>
      </c>
      <c r="G12" s="648"/>
      <c r="H12" s="648"/>
      <c r="I12" s="648"/>
      <c r="J12" s="648"/>
      <c r="K12" s="648"/>
      <c r="L12" s="648"/>
      <c r="M12" s="648"/>
      <c r="N12" s="648"/>
      <c r="O12" s="659" t="s">
        <v>82</v>
      </c>
      <c r="P12" s="648"/>
      <c r="Q12" s="648"/>
      <c r="R12" s="648"/>
      <c r="S12" s="648"/>
      <c r="T12" s="159">
        <f>4400/31*6</f>
        <v>851.612903225806</v>
      </c>
      <c r="U12" s="159"/>
      <c r="V12" s="159"/>
      <c r="W12" s="159"/>
      <c r="X12" s="159"/>
      <c r="Y12" s="159"/>
      <c r="Z12" s="159"/>
      <c r="AA12" s="39">
        <f t="shared" si="0"/>
        <v>851.612903225806</v>
      </c>
      <c r="AB12" s="665"/>
      <c r="AC12" s="665"/>
      <c r="AD12" s="665"/>
      <c r="AE12" s="665"/>
      <c r="AF12" s="665"/>
      <c r="AG12" s="665"/>
      <c r="AH12" s="665"/>
      <c r="AI12" s="665"/>
      <c r="AJ12" s="672">
        <f t="shared" si="1"/>
        <v>851.612903225806</v>
      </c>
      <c r="AK12" s="673">
        <f t="shared" si="2"/>
        <v>0</v>
      </c>
      <c r="AL12" s="672">
        <f>G12*2</f>
        <v>0</v>
      </c>
      <c r="AM12" s="673">
        <f t="shared" si="4"/>
        <v>0</v>
      </c>
      <c r="AN12" s="665"/>
      <c r="AO12" s="665"/>
      <c r="AP12" s="665"/>
      <c r="AQ12" s="667">
        <f t="shared" si="5"/>
        <v>0</v>
      </c>
      <c r="AR12" s="667">
        <f t="shared" si="6"/>
        <v>851.612903225806</v>
      </c>
      <c r="AS12" s="320"/>
      <c r="AT12" s="681"/>
    </row>
    <row r="13" ht="32" customHeight="1" spans="1:46">
      <c r="A13" s="649" t="s">
        <v>83</v>
      </c>
      <c r="B13" s="650"/>
      <c r="C13" s="651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65">
        <f>SUM(T3:T12)</f>
        <v>28406.4516129032</v>
      </c>
      <c r="U13" s="665">
        <f t="shared" ref="U13:AR13" si="7">SUM(U3:U12)</f>
        <v>6500</v>
      </c>
      <c r="V13" s="665">
        <f t="shared" si="7"/>
        <v>7000</v>
      </c>
      <c r="W13" s="665">
        <f t="shared" si="7"/>
        <v>2900</v>
      </c>
      <c r="X13" s="665">
        <f t="shared" si="7"/>
        <v>2700</v>
      </c>
      <c r="Y13" s="665">
        <f t="shared" si="7"/>
        <v>1000</v>
      </c>
      <c r="Z13" s="665">
        <f t="shared" si="7"/>
        <v>2000</v>
      </c>
      <c r="AA13" s="665">
        <f t="shared" si="7"/>
        <v>50506.4516129032</v>
      </c>
      <c r="AB13" s="665">
        <f t="shared" si="7"/>
        <v>30</v>
      </c>
      <c r="AC13" s="665">
        <f t="shared" si="7"/>
        <v>0</v>
      </c>
      <c r="AD13" s="665">
        <f t="shared" si="7"/>
        <v>2000</v>
      </c>
      <c r="AE13" s="665">
        <f t="shared" si="7"/>
        <v>0</v>
      </c>
      <c r="AF13" s="665">
        <f t="shared" si="7"/>
        <v>910</v>
      </c>
      <c r="AG13" s="665">
        <f t="shared" si="7"/>
        <v>100</v>
      </c>
      <c r="AH13" s="665">
        <f t="shared" si="7"/>
        <v>1600</v>
      </c>
      <c r="AI13" s="665">
        <f t="shared" si="7"/>
        <v>200</v>
      </c>
      <c r="AJ13" s="665">
        <f t="shared" si="7"/>
        <v>55346.4516129032</v>
      </c>
      <c r="AK13" s="665">
        <f t="shared" si="7"/>
        <v>0</v>
      </c>
      <c r="AL13" s="665">
        <f t="shared" si="7"/>
        <v>0</v>
      </c>
      <c r="AM13" s="665">
        <f t="shared" si="7"/>
        <v>0</v>
      </c>
      <c r="AN13" s="665">
        <f t="shared" si="7"/>
        <v>18.09</v>
      </c>
      <c r="AO13" s="665">
        <f t="shared" si="7"/>
        <v>0</v>
      </c>
      <c r="AP13" s="665">
        <f t="shared" si="7"/>
        <v>5079.2</v>
      </c>
      <c r="AQ13" s="665">
        <f t="shared" si="7"/>
        <v>5097.29</v>
      </c>
      <c r="AR13" s="665">
        <f t="shared" si="7"/>
        <v>50249.1616129032</v>
      </c>
      <c r="AS13" s="320"/>
      <c r="AT13" s="681"/>
    </row>
    <row r="15" customFormat="1" spans="44:44">
      <c r="AR15" t="s">
        <v>84</v>
      </c>
    </row>
    <row r="16" s="624" customFormat="1" spans="2:2">
      <c r="B16" s="624" t="s">
        <v>85</v>
      </c>
    </row>
  </sheetData>
  <mergeCells count="20">
    <mergeCell ref="T1:AS1"/>
    <mergeCell ref="A13:B13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2BA02"/>
    <outlinePr summaryBelow="0" summaryRight="0"/>
  </sheetPr>
  <dimension ref="A1:AT49"/>
  <sheetViews>
    <sheetView workbookViewId="0">
      <pane xSplit="6" ySplit="2" topLeftCell="O3" activePane="bottomRight" state="frozen"/>
      <selection/>
      <selection pane="topRight"/>
      <selection pane="bottomLeft"/>
      <selection pane="bottomRight" activeCell="AR3" sqref="AR3:AR48"/>
    </sheetView>
  </sheetViews>
  <sheetFormatPr defaultColWidth="11.6583333333333" defaultRowHeight="13.5" customHeight="1"/>
  <cols>
    <col min="1" max="1" width="4.56666666666667" style="98" customWidth="1"/>
    <col min="2" max="2" width="16.25" style="98" customWidth="1"/>
    <col min="3" max="3" width="9.08333333333333" style="98" hidden="1" customWidth="1"/>
    <col min="4" max="4" width="11.2583333333333" style="102" hidden="1" customWidth="1"/>
    <col min="5" max="5" width="7.45" style="102" hidden="1" customWidth="1"/>
    <col min="6" max="6" width="6.875" style="103" hidden="1" customWidth="1"/>
    <col min="7" max="8" width="11.6583333333333" style="98" hidden="1" customWidth="1"/>
    <col min="9" max="14" width="6.875" style="98" hidden="1" customWidth="1"/>
    <col min="15" max="15" width="19.625" style="104" hidden="1" customWidth="1"/>
    <col min="16" max="18" width="11.6583333333333" style="98" hidden="1" customWidth="1"/>
    <col min="19" max="19" width="14.8416666666667" style="98" hidden="1" customWidth="1"/>
    <col min="20" max="20" width="10.5" style="102" customWidth="1"/>
    <col min="21" max="26" width="10.5" style="102" hidden="1" customWidth="1"/>
    <col min="27" max="27" width="11.6583333333333" style="102" customWidth="1"/>
    <col min="28" max="29" width="5.875" style="102" customWidth="1"/>
    <col min="30" max="30" width="9.375" style="102" customWidth="1"/>
    <col min="31" max="31" width="5.875" style="102" customWidth="1"/>
    <col min="32" max="35" width="6.875" style="102" customWidth="1"/>
    <col min="36" max="36" width="14.1583333333333" style="102" customWidth="1"/>
    <col min="37" max="39" width="7.125" style="102" customWidth="1"/>
    <col min="40" max="41" width="7.75" style="102" customWidth="1"/>
    <col min="42" max="45" width="11.6583333333333" style="102" customWidth="1"/>
    <col min="46" max="46" width="40.625" style="102" customWidth="1"/>
  </cols>
  <sheetData>
    <row r="1" s="98" customFormat="1" ht="41" customHeight="1" spans="1:46">
      <c r="A1" s="105" t="s">
        <v>0</v>
      </c>
      <c r="B1" s="106" t="s">
        <v>1</v>
      </c>
      <c r="C1" s="106" t="s">
        <v>2</v>
      </c>
      <c r="D1" s="106" t="s">
        <v>3</v>
      </c>
      <c r="E1" s="107" t="s">
        <v>4</v>
      </c>
      <c r="F1" s="108" t="s">
        <v>5</v>
      </c>
      <c r="G1" s="107" t="s">
        <v>6</v>
      </c>
      <c r="H1" s="107" t="s">
        <v>7</v>
      </c>
      <c r="I1" s="107" t="s">
        <v>8</v>
      </c>
      <c r="J1" s="107" t="s">
        <v>9</v>
      </c>
      <c r="K1" s="138" t="s">
        <v>10</v>
      </c>
      <c r="L1" s="107" t="s">
        <v>11</v>
      </c>
      <c r="M1" s="107" t="s">
        <v>12</v>
      </c>
      <c r="N1" s="107" t="s">
        <v>13</v>
      </c>
      <c r="O1" s="107" t="s">
        <v>14</v>
      </c>
      <c r="P1" s="107" t="s">
        <v>15</v>
      </c>
      <c r="Q1" s="107" t="s">
        <v>16</v>
      </c>
      <c r="R1" s="107" t="s">
        <v>17</v>
      </c>
      <c r="S1" s="107" t="s">
        <v>18</v>
      </c>
      <c r="T1" s="144" t="s">
        <v>877</v>
      </c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</row>
    <row r="2" s="98" customFormat="1" ht="43.05" customHeight="1" spans="1:46">
      <c r="A2" s="109"/>
      <c r="B2" s="106"/>
      <c r="C2" s="106"/>
      <c r="D2" s="106"/>
      <c r="E2" s="107"/>
      <c r="F2" s="108"/>
      <c r="G2" s="107"/>
      <c r="H2" s="110" t="s">
        <v>20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45" t="s">
        <v>21</v>
      </c>
      <c r="U2" s="145" t="s">
        <v>22</v>
      </c>
      <c r="V2" s="145" t="s">
        <v>23</v>
      </c>
      <c r="W2" s="145" t="s">
        <v>24</v>
      </c>
      <c r="X2" s="145" t="s">
        <v>25</v>
      </c>
      <c r="Y2" s="145" t="s">
        <v>26</v>
      </c>
      <c r="Z2" s="145" t="s">
        <v>27</v>
      </c>
      <c r="AA2" s="152" t="s">
        <v>28</v>
      </c>
      <c r="AB2" s="145" t="s">
        <v>29</v>
      </c>
      <c r="AC2" s="145" t="s">
        <v>27</v>
      </c>
      <c r="AD2" s="145" t="s">
        <v>30</v>
      </c>
      <c r="AE2" s="145" t="s">
        <v>31</v>
      </c>
      <c r="AF2" s="145" t="s">
        <v>32</v>
      </c>
      <c r="AG2" s="145" t="s">
        <v>33</v>
      </c>
      <c r="AH2" s="145" t="s">
        <v>34</v>
      </c>
      <c r="AI2" s="145" t="s">
        <v>35</v>
      </c>
      <c r="AJ2" s="152" t="s">
        <v>36</v>
      </c>
      <c r="AK2" s="152" t="s">
        <v>37</v>
      </c>
      <c r="AL2" s="152" t="s">
        <v>38</v>
      </c>
      <c r="AM2" s="152" t="s">
        <v>39</v>
      </c>
      <c r="AN2" s="145" t="s">
        <v>40</v>
      </c>
      <c r="AO2" s="145" t="s">
        <v>41</v>
      </c>
      <c r="AP2" s="145" t="s">
        <v>42</v>
      </c>
      <c r="AQ2" s="152" t="s">
        <v>43</v>
      </c>
      <c r="AR2" s="152" t="s">
        <v>44</v>
      </c>
      <c r="AS2" s="152"/>
      <c r="AT2" s="145" t="s">
        <v>45</v>
      </c>
    </row>
    <row r="3" s="99" customFormat="1" ht="28" customHeight="1" spans="1:46">
      <c r="A3" s="111">
        <v>1</v>
      </c>
      <c r="B3" s="112" t="s">
        <v>878</v>
      </c>
      <c r="C3" s="99" t="s">
        <v>183</v>
      </c>
      <c r="D3" s="99" t="s">
        <v>769</v>
      </c>
      <c r="E3" s="99" t="s">
        <v>49</v>
      </c>
      <c r="F3" s="113">
        <v>31</v>
      </c>
      <c r="O3" s="139"/>
      <c r="S3" s="146" t="s">
        <v>879</v>
      </c>
      <c r="T3" s="99">
        <v>3000</v>
      </c>
      <c r="U3" s="99">
        <v>700</v>
      </c>
      <c r="V3" s="99">
        <v>700</v>
      </c>
      <c r="W3" s="99">
        <v>200</v>
      </c>
      <c r="X3" s="99">
        <v>200</v>
      </c>
      <c r="Y3" s="99">
        <v>200</v>
      </c>
      <c r="Z3" s="99">
        <v>200</v>
      </c>
      <c r="AA3" s="99">
        <f>SUM(T3:Z3)</f>
        <v>5200</v>
      </c>
      <c r="AD3" s="99">
        <v>220</v>
      </c>
      <c r="AJ3" s="99">
        <f>SUM(AA3:AI3)</f>
        <v>5420</v>
      </c>
      <c r="AP3" s="160">
        <v>634.9</v>
      </c>
      <c r="AQ3" s="99">
        <f>SUM(AL3:AP3)</f>
        <v>634.9</v>
      </c>
      <c r="AR3" s="99">
        <f>AJ3-AQ3</f>
        <v>4785.1</v>
      </c>
      <c r="AT3" s="99" t="s">
        <v>880</v>
      </c>
    </row>
    <row r="4" s="98" customFormat="1" ht="28" customHeight="1" spans="1:46">
      <c r="A4" s="111">
        <v>2</v>
      </c>
      <c r="B4" s="114" t="s">
        <v>881</v>
      </c>
      <c r="C4" s="115" t="s">
        <v>882</v>
      </c>
      <c r="D4" s="25" t="s">
        <v>351</v>
      </c>
      <c r="E4" s="20" t="s">
        <v>49</v>
      </c>
      <c r="F4" s="113">
        <v>31</v>
      </c>
      <c r="G4" s="116">
        <v>0</v>
      </c>
      <c r="H4" s="116">
        <v>0</v>
      </c>
      <c r="I4" s="116">
        <v>0</v>
      </c>
      <c r="J4" s="116">
        <v>0</v>
      </c>
      <c r="K4" s="116">
        <v>0</v>
      </c>
      <c r="L4" s="116">
        <v>0</v>
      </c>
      <c r="M4" s="116">
        <v>0</v>
      </c>
      <c r="N4" s="116">
        <v>0</v>
      </c>
      <c r="O4" s="139" t="s">
        <v>883</v>
      </c>
      <c r="P4" s="116">
        <v>0</v>
      </c>
      <c r="Q4" s="116">
        <v>0</v>
      </c>
      <c r="R4" s="116">
        <v>0</v>
      </c>
      <c r="S4" s="147"/>
      <c r="T4" s="99">
        <v>2000</v>
      </c>
      <c r="U4" s="99">
        <v>200</v>
      </c>
      <c r="V4" s="99">
        <v>200</v>
      </c>
      <c r="W4" s="99">
        <v>200</v>
      </c>
      <c r="X4" s="99">
        <v>500</v>
      </c>
      <c r="Y4" s="99">
        <v>100</v>
      </c>
      <c r="Z4" s="99">
        <v>1000</v>
      </c>
      <c r="AA4" s="99">
        <f t="shared" ref="AA4:AA49" si="0">SUM(T4:Z4)</f>
        <v>4200</v>
      </c>
      <c r="AB4" s="99"/>
      <c r="AC4" s="99"/>
      <c r="AD4" s="99"/>
      <c r="AE4" s="153"/>
      <c r="AF4" s="154">
        <f>R4</f>
        <v>0</v>
      </c>
      <c r="AG4" s="154">
        <v>0</v>
      </c>
      <c r="AH4" s="154">
        <v>0</v>
      </c>
      <c r="AI4" s="154">
        <v>0</v>
      </c>
      <c r="AJ4" s="99">
        <f t="shared" ref="AJ4:AJ49" si="1">SUM(AA4:AI4)</f>
        <v>4200</v>
      </c>
      <c r="AK4" s="157">
        <f t="shared" ref="AK4:AK7" si="2">H4</f>
        <v>0</v>
      </c>
      <c r="AL4" s="158">
        <f t="shared" ref="AL4:AL7" si="3">G4*2</f>
        <v>0</v>
      </c>
      <c r="AM4" s="157">
        <f t="shared" ref="AM4:AM7" si="4">AA4/F4*AK4</f>
        <v>0</v>
      </c>
      <c r="AN4" s="154">
        <v>0</v>
      </c>
      <c r="AO4" s="154"/>
      <c r="AP4" s="154"/>
      <c r="AQ4" s="99">
        <f t="shared" ref="AQ4:AQ48" si="5">SUM(AL4:AP4)</f>
        <v>0</v>
      </c>
      <c r="AR4" s="99">
        <f t="shared" ref="AR4:AR48" si="6">AJ4-AQ4</f>
        <v>4200</v>
      </c>
      <c r="AS4" s="99"/>
      <c r="AT4" s="99" t="s">
        <v>883</v>
      </c>
    </row>
    <row r="5" s="98" customFormat="1" ht="28" customHeight="1" spans="1:46">
      <c r="A5" s="111">
        <v>3</v>
      </c>
      <c r="B5" s="114" t="s">
        <v>884</v>
      </c>
      <c r="C5" s="115" t="s">
        <v>885</v>
      </c>
      <c r="D5" s="25" t="s">
        <v>351</v>
      </c>
      <c r="E5" s="20" t="s">
        <v>49</v>
      </c>
      <c r="F5" s="113">
        <v>31</v>
      </c>
      <c r="G5" s="116">
        <v>0</v>
      </c>
      <c r="H5" s="116">
        <v>0</v>
      </c>
      <c r="I5" s="116">
        <v>0</v>
      </c>
      <c r="J5" s="116">
        <v>0</v>
      </c>
      <c r="K5" s="116">
        <v>0</v>
      </c>
      <c r="L5" s="116"/>
      <c r="M5" s="116">
        <v>0</v>
      </c>
      <c r="N5" s="116"/>
      <c r="O5" s="139" t="s">
        <v>883</v>
      </c>
      <c r="P5" s="116">
        <v>0</v>
      </c>
      <c r="Q5" s="116">
        <v>0</v>
      </c>
      <c r="R5" s="116">
        <v>0</v>
      </c>
      <c r="S5" s="147"/>
      <c r="T5" s="99">
        <v>1800</v>
      </c>
      <c r="U5" s="99">
        <v>100</v>
      </c>
      <c r="V5" s="99">
        <v>200</v>
      </c>
      <c r="W5" s="99">
        <v>200</v>
      </c>
      <c r="X5" s="99">
        <v>500</v>
      </c>
      <c r="Y5" s="99">
        <v>100</v>
      </c>
      <c r="Z5" s="99">
        <v>1000</v>
      </c>
      <c r="AA5" s="99">
        <f t="shared" si="0"/>
        <v>3900</v>
      </c>
      <c r="AB5" s="99"/>
      <c r="AC5" s="99"/>
      <c r="AD5" s="99"/>
      <c r="AE5" s="153"/>
      <c r="AF5" s="154">
        <f>R5</f>
        <v>0</v>
      </c>
      <c r="AG5" s="154">
        <v>0</v>
      </c>
      <c r="AH5" s="154"/>
      <c r="AI5" s="154">
        <v>0</v>
      </c>
      <c r="AJ5" s="99">
        <f t="shared" si="1"/>
        <v>3900</v>
      </c>
      <c r="AK5" s="157">
        <f t="shared" si="2"/>
        <v>0</v>
      </c>
      <c r="AL5" s="158">
        <f t="shared" si="3"/>
        <v>0</v>
      </c>
      <c r="AM5" s="157">
        <f t="shared" si="4"/>
        <v>0</v>
      </c>
      <c r="AN5" s="154"/>
      <c r="AO5" s="154"/>
      <c r="AP5" s="154">
        <v>0</v>
      </c>
      <c r="AQ5" s="99">
        <f t="shared" si="5"/>
        <v>0</v>
      </c>
      <c r="AR5" s="99">
        <f t="shared" si="6"/>
        <v>3900</v>
      </c>
      <c r="AS5" s="99"/>
      <c r="AT5" s="99" t="s">
        <v>883</v>
      </c>
    </row>
    <row r="6" s="98" customFormat="1" ht="28" customHeight="1" spans="1:46">
      <c r="A6" s="111">
        <v>4</v>
      </c>
      <c r="B6" s="114" t="s">
        <v>886</v>
      </c>
      <c r="C6" s="115" t="s">
        <v>885</v>
      </c>
      <c r="D6" s="25" t="s">
        <v>351</v>
      </c>
      <c r="E6" s="20" t="s">
        <v>49</v>
      </c>
      <c r="F6" s="113">
        <v>31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/>
      <c r="M6" s="116">
        <v>0</v>
      </c>
      <c r="N6" s="116"/>
      <c r="O6" s="139" t="s">
        <v>883</v>
      </c>
      <c r="P6" s="116">
        <v>0</v>
      </c>
      <c r="Q6" s="116">
        <v>0</v>
      </c>
      <c r="R6" s="116">
        <v>0</v>
      </c>
      <c r="S6" s="147"/>
      <c r="T6" s="99">
        <v>1800</v>
      </c>
      <c r="U6" s="99">
        <v>100</v>
      </c>
      <c r="V6" s="99">
        <v>200</v>
      </c>
      <c r="W6" s="99">
        <v>200</v>
      </c>
      <c r="X6" s="99">
        <v>500</v>
      </c>
      <c r="Y6" s="99">
        <v>100</v>
      </c>
      <c r="Z6" s="99">
        <v>1000</v>
      </c>
      <c r="AA6" s="99">
        <f t="shared" si="0"/>
        <v>3900</v>
      </c>
      <c r="AB6" s="99"/>
      <c r="AC6" s="99"/>
      <c r="AD6" s="99"/>
      <c r="AE6" s="153"/>
      <c r="AF6" s="154"/>
      <c r="AG6" s="154">
        <v>0</v>
      </c>
      <c r="AH6" s="154"/>
      <c r="AI6" s="154"/>
      <c r="AJ6" s="99">
        <f t="shared" si="1"/>
        <v>3900</v>
      </c>
      <c r="AK6" s="157">
        <f t="shared" si="2"/>
        <v>0</v>
      </c>
      <c r="AL6" s="158">
        <f t="shared" si="3"/>
        <v>0</v>
      </c>
      <c r="AM6" s="157">
        <f t="shared" si="4"/>
        <v>0</v>
      </c>
      <c r="AN6" s="154"/>
      <c r="AO6" s="154"/>
      <c r="AP6" s="154">
        <v>0</v>
      </c>
      <c r="AQ6" s="99">
        <f t="shared" si="5"/>
        <v>0</v>
      </c>
      <c r="AR6" s="99">
        <f t="shared" si="6"/>
        <v>3900</v>
      </c>
      <c r="AS6" s="99"/>
      <c r="AT6" s="99" t="s">
        <v>883</v>
      </c>
    </row>
    <row r="7" s="98" customFormat="1" ht="28" customHeight="1" spans="1:46">
      <c r="A7" s="111">
        <v>5</v>
      </c>
      <c r="B7" s="114" t="s">
        <v>887</v>
      </c>
      <c r="C7" s="115" t="s">
        <v>885</v>
      </c>
      <c r="D7" s="25" t="s">
        <v>351</v>
      </c>
      <c r="E7" s="20" t="s">
        <v>49</v>
      </c>
      <c r="F7" s="113">
        <v>31</v>
      </c>
      <c r="G7" s="116">
        <v>0</v>
      </c>
      <c r="H7" s="116">
        <v>0</v>
      </c>
      <c r="I7" s="116">
        <v>0</v>
      </c>
      <c r="J7" s="116">
        <v>0</v>
      </c>
      <c r="K7" s="116"/>
      <c r="L7" s="116">
        <v>0</v>
      </c>
      <c r="M7" s="116">
        <v>0</v>
      </c>
      <c r="N7" s="116"/>
      <c r="O7" s="139" t="s">
        <v>883</v>
      </c>
      <c r="P7" s="116">
        <v>0</v>
      </c>
      <c r="Q7" s="116">
        <v>0</v>
      </c>
      <c r="R7" s="116">
        <v>0</v>
      </c>
      <c r="S7" s="147"/>
      <c r="T7" s="99">
        <v>1800</v>
      </c>
      <c r="U7" s="99">
        <v>100</v>
      </c>
      <c r="V7" s="99">
        <v>200</v>
      </c>
      <c r="W7" s="99">
        <v>200</v>
      </c>
      <c r="X7" s="99">
        <v>500</v>
      </c>
      <c r="Y7" s="99">
        <v>100</v>
      </c>
      <c r="Z7" s="99">
        <v>1000</v>
      </c>
      <c r="AA7" s="99">
        <f t="shared" si="0"/>
        <v>3900</v>
      </c>
      <c r="AB7" s="99"/>
      <c r="AC7" s="99"/>
      <c r="AD7" s="99"/>
      <c r="AE7" s="153"/>
      <c r="AF7" s="154"/>
      <c r="AG7" s="154"/>
      <c r="AH7" s="154">
        <v>0</v>
      </c>
      <c r="AI7" s="154"/>
      <c r="AJ7" s="99">
        <f t="shared" si="1"/>
        <v>3900</v>
      </c>
      <c r="AK7" s="157">
        <f t="shared" si="2"/>
        <v>0</v>
      </c>
      <c r="AL7" s="158">
        <f t="shared" si="3"/>
        <v>0</v>
      </c>
      <c r="AM7" s="157">
        <f t="shared" si="4"/>
        <v>0</v>
      </c>
      <c r="AN7" s="154"/>
      <c r="AO7" s="154"/>
      <c r="AP7" s="154">
        <v>0</v>
      </c>
      <c r="AQ7" s="99">
        <f t="shared" si="5"/>
        <v>0</v>
      </c>
      <c r="AR7" s="99">
        <f t="shared" si="6"/>
        <v>3900</v>
      </c>
      <c r="AS7" s="99"/>
      <c r="AT7" s="99" t="s">
        <v>883</v>
      </c>
    </row>
    <row r="8" s="98" customFormat="1" ht="42" customHeight="1" spans="1:46">
      <c r="A8" s="111">
        <v>6</v>
      </c>
      <c r="B8" s="114" t="s">
        <v>888</v>
      </c>
      <c r="C8" s="115" t="s">
        <v>882</v>
      </c>
      <c r="D8" s="25">
        <v>45748</v>
      </c>
      <c r="E8" s="20" t="s">
        <v>49</v>
      </c>
      <c r="F8" s="113">
        <v>31</v>
      </c>
      <c r="G8" s="117"/>
      <c r="H8" s="117"/>
      <c r="I8" s="117"/>
      <c r="J8" s="117"/>
      <c r="K8" s="117"/>
      <c r="L8" s="117"/>
      <c r="M8" s="117"/>
      <c r="N8" s="117"/>
      <c r="O8" s="107" t="s">
        <v>883</v>
      </c>
      <c r="P8" s="117"/>
      <c r="Q8" s="117"/>
      <c r="R8" s="117"/>
      <c r="S8" s="148" t="s">
        <v>889</v>
      </c>
      <c r="T8" s="99">
        <v>2000</v>
      </c>
      <c r="U8" s="99">
        <v>200</v>
      </c>
      <c r="V8" s="99">
        <v>200</v>
      </c>
      <c r="W8" s="99">
        <v>200</v>
      </c>
      <c r="X8" s="99">
        <v>500</v>
      </c>
      <c r="Y8" s="99">
        <v>100</v>
      </c>
      <c r="Z8" s="99">
        <v>1000</v>
      </c>
      <c r="AA8" s="99">
        <f t="shared" si="0"/>
        <v>4200</v>
      </c>
      <c r="AB8" s="155"/>
      <c r="AC8" s="155"/>
      <c r="AD8" s="155"/>
      <c r="AE8" s="155"/>
      <c r="AF8" s="156">
        <f t="shared" ref="AF8:AI8" si="7">SUM(AF4:AF7)</f>
        <v>0</v>
      </c>
      <c r="AG8" s="156">
        <f t="shared" si="7"/>
        <v>0</v>
      </c>
      <c r="AH8" s="156">
        <f t="shared" si="7"/>
        <v>0</v>
      </c>
      <c r="AI8" s="156">
        <f t="shared" si="7"/>
        <v>0</v>
      </c>
      <c r="AJ8" s="99">
        <f t="shared" si="1"/>
        <v>4200</v>
      </c>
      <c r="AK8" s="156">
        <f t="shared" ref="AK8:AP8" si="8">SUM(AK4:AK7)</f>
        <v>0</v>
      </c>
      <c r="AL8" s="156">
        <f t="shared" si="8"/>
        <v>0</v>
      </c>
      <c r="AM8" s="156">
        <f t="shared" si="8"/>
        <v>0</v>
      </c>
      <c r="AN8" s="156">
        <f t="shared" si="8"/>
        <v>0</v>
      </c>
      <c r="AO8" s="156">
        <f t="shared" si="8"/>
        <v>0</v>
      </c>
      <c r="AP8" s="156">
        <f t="shared" si="8"/>
        <v>0</v>
      </c>
      <c r="AQ8" s="99">
        <f t="shared" si="5"/>
        <v>0</v>
      </c>
      <c r="AR8" s="99">
        <f t="shared" si="6"/>
        <v>4200</v>
      </c>
      <c r="AS8" s="99"/>
      <c r="AT8" s="99" t="s">
        <v>890</v>
      </c>
    </row>
    <row r="9" ht="28" customHeight="1" spans="1:46">
      <c r="A9" s="111">
        <v>7</v>
      </c>
      <c r="B9" s="118" t="s">
        <v>891</v>
      </c>
      <c r="C9" s="115" t="s">
        <v>885</v>
      </c>
      <c r="D9" s="25">
        <v>45748</v>
      </c>
      <c r="E9" s="31" t="s">
        <v>107</v>
      </c>
      <c r="F9" s="113">
        <v>18</v>
      </c>
      <c r="G9" s="119"/>
      <c r="H9" s="119"/>
      <c r="I9" s="119"/>
      <c r="J9" s="119"/>
      <c r="K9" s="119"/>
      <c r="L9" s="119"/>
      <c r="M9" s="119"/>
      <c r="N9" s="119"/>
      <c r="O9" s="140" t="s">
        <v>892</v>
      </c>
      <c r="P9" s="119"/>
      <c r="Q9" s="119"/>
      <c r="R9" s="119"/>
      <c r="S9" s="119"/>
      <c r="T9" s="99">
        <f>3900/31*18</f>
        <v>2264.51612903226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9">
        <v>0</v>
      </c>
      <c r="AA9" s="99">
        <f t="shared" si="0"/>
        <v>2264.51612903226</v>
      </c>
      <c r="AB9" s="127"/>
      <c r="AC9" s="127"/>
      <c r="AD9" s="127"/>
      <c r="AE9" s="127"/>
      <c r="AF9" s="127"/>
      <c r="AG9" s="127"/>
      <c r="AH9" s="127"/>
      <c r="AI9" s="127"/>
      <c r="AJ9" s="99">
        <f t="shared" si="1"/>
        <v>2264.51612903226</v>
      </c>
      <c r="AK9" s="127"/>
      <c r="AL9" s="127"/>
      <c r="AM9" s="127"/>
      <c r="AN9" s="127"/>
      <c r="AO9" s="127"/>
      <c r="AP9" s="127"/>
      <c r="AQ9" s="99">
        <f t="shared" si="5"/>
        <v>0</v>
      </c>
      <c r="AR9" s="99">
        <f t="shared" si="6"/>
        <v>2264.51612903226</v>
      </c>
      <c r="AS9" s="99"/>
      <c r="AT9" s="99" t="s">
        <v>892</v>
      </c>
    </row>
    <row r="10" ht="28" customHeight="1" spans="1:46">
      <c r="A10" s="111">
        <v>8</v>
      </c>
      <c r="B10" s="114" t="s">
        <v>893</v>
      </c>
      <c r="C10" s="115" t="s">
        <v>885</v>
      </c>
      <c r="D10" s="25">
        <v>45748</v>
      </c>
      <c r="E10" s="20" t="s">
        <v>49</v>
      </c>
      <c r="F10" s="113">
        <v>31</v>
      </c>
      <c r="G10" s="119"/>
      <c r="H10" s="119"/>
      <c r="I10" s="119"/>
      <c r="J10" s="119"/>
      <c r="K10" s="119"/>
      <c r="L10" s="119"/>
      <c r="M10" s="119"/>
      <c r="N10" s="119"/>
      <c r="O10" s="141" t="s">
        <v>883</v>
      </c>
      <c r="P10" s="119"/>
      <c r="Q10" s="119"/>
      <c r="R10" s="119"/>
      <c r="S10" s="119"/>
      <c r="T10" s="99">
        <v>1800</v>
      </c>
      <c r="U10" s="99">
        <v>100</v>
      </c>
      <c r="V10" s="99">
        <v>200</v>
      </c>
      <c r="W10" s="99">
        <v>200</v>
      </c>
      <c r="X10" s="99">
        <v>500</v>
      </c>
      <c r="Y10" s="99">
        <v>100</v>
      </c>
      <c r="Z10" s="99">
        <v>1000</v>
      </c>
      <c r="AA10" s="99">
        <f t="shared" si="0"/>
        <v>3900</v>
      </c>
      <c r="AB10" s="127"/>
      <c r="AC10" s="127"/>
      <c r="AD10" s="127"/>
      <c r="AE10" s="127"/>
      <c r="AF10" s="127"/>
      <c r="AG10" s="127"/>
      <c r="AH10" s="127"/>
      <c r="AI10" s="127"/>
      <c r="AJ10" s="99">
        <f t="shared" si="1"/>
        <v>3900</v>
      </c>
      <c r="AK10" s="127"/>
      <c r="AL10" s="127"/>
      <c r="AM10" s="127"/>
      <c r="AN10" s="127"/>
      <c r="AO10" s="127"/>
      <c r="AP10" s="127"/>
      <c r="AQ10" s="99">
        <f t="shared" si="5"/>
        <v>0</v>
      </c>
      <c r="AR10" s="99">
        <f t="shared" si="6"/>
        <v>3900</v>
      </c>
      <c r="AS10" s="99"/>
      <c r="AT10" s="99" t="s">
        <v>883</v>
      </c>
    </row>
    <row r="11" ht="28" customHeight="1" spans="1:46">
      <c r="A11" s="111">
        <v>9</v>
      </c>
      <c r="B11" s="114" t="s">
        <v>894</v>
      </c>
      <c r="C11" s="115" t="s">
        <v>885</v>
      </c>
      <c r="D11" s="25">
        <v>45748</v>
      </c>
      <c r="E11" s="20" t="s">
        <v>49</v>
      </c>
      <c r="F11" s="113">
        <v>31</v>
      </c>
      <c r="G11" s="119"/>
      <c r="H11" s="119"/>
      <c r="I11" s="119"/>
      <c r="J11" s="119"/>
      <c r="K11" s="119"/>
      <c r="L11" s="119"/>
      <c r="M11" s="119"/>
      <c r="N11" s="119"/>
      <c r="O11" s="141" t="s">
        <v>883</v>
      </c>
      <c r="P11" s="119"/>
      <c r="Q11" s="119"/>
      <c r="R11" s="119"/>
      <c r="S11" s="119"/>
      <c r="T11" s="99">
        <v>1800</v>
      </c>
      <c r="U11" s="99">
        <v>100</v>
      </c>
      <c r="V11" s="99">
        <v>200</v>
      </c>
      <c r="W11" s="99">
        <v>200</v>
      </c>
      <c r="X11" s="99">
        <v>500</v>
      </c>
      <c r="Y11" s="99">
        <v>100</v>
      </c>
      <c r="Z11" s="99">
        <v>1000</v>
      </c>
      <c r="AA11" s="99">
        <f t="shared" si="0"/>
        <v>3900</v>
      </c>
      <c r="AB11" s="127"/>
      <c r="AC11" s="127"/>
      <c r="AD11" s="127"/>
      <c r="AE11" s="127"/>
      <c r="AF11" s="127"/>
      <c r="AG11" s="127"/>
      <c r="AH11" s="127"/>
      <c r="AI11" s="127"/>
      <c r="AJ11" s="99">
        <f t="shared" si="1"/>
        <v>3900</v>
      </c>
      <c r="AK11" s="127"/>
      <c r="AL11" s="127"/>
      <c r="AM11" s="127"/>
      <c r="AN11" s="127"/>
      <c r="AO11" s="127"/>
      <c r="AP11" s="127"/>
      <c r="AQ11" s="99">
        <f t="shared" si="5"/>
        <v>0</v>
      </c>
      <c r="AR11" s="99">
        <f t="shared" si="6"/>
        <v>3900</v>
      </c>
      <c r="AS11" s="99"/>
      <c r="AT11" s="99" t="s">
        <v>883</v>
      </c>
    </row>
    <row r="12" ht="28" customHeight="1" spans="1:46">
      <c r="A12" s="111">
        <v>10</v>
      </c>
      <c r="B12" s="114" t="s">
        <v>895</v>
      </c>
      <c r="C12" s="115" t="s">
        <v>885</v>
      </c>
      <c r="D12" s="25">
        <v>45748</v>
      </c>
      <c r="E12" s="20" t="s">
        <v>49</v>
      </c>
      <c r="F12" s="113">
        <v>31</v>
      </c>
      <c r="G12" s="119"/>
      <c r="H12" s="119"/>
      <c r="I12" s="119"/>
      <c r="J12" s="119"/>
      <c r="K12" s="119"/>
      <c r="L12" s="119"/>
      <c r="M12" s="119"/>
      <c r="N12" s="119"/>
      <c r="O12" s="141" t="s">
        <v>883</v>
      </c>
      <c r="P12" s="119"/>
      <c r="Q12" s="119"/>
      <c r="R12" s="119"/>
      <c r="S12" s="119"/>
      <c r="T12" s="99">
        <v>1800</v>
      </c>
      <c r="U12" s="99">
        <v>100</v>
      </c>
      <c r="V12" s="99">
        <v>200</v>
      </c>
      <c r="W12" s="99">
        <v>200</v>
      </c>
      <c r="X12" s="99">
        <v>500</v>
      </c>
      <c r="Y12" s="99">
        <v>100</v>
      </c>
      <c r="Z12" s="99">
        <v>1000</v>
      </c>
      <c r="AA12" s="99">
        <f t="shared" si="0"/>
        <v>3900</v>
      </c>
      <c r="AB12" s="127"/>
      <c r="AC12" s="127"/>
      <c r="AD12" s="127"/>
      <c r="AE12" s="127"/>
      <c r="AF12" s="127"/>
      <c r="AG12" s="127"/>
      <c r="AH12" s="127"/>
      <c r="AI12" s="127"/>
      <c r="AJ12" s="99">
        <f t="shared" si="1"/>
        <v>3900</v>
      </c>
      <c r="AK12" s="127"/>
      <c r="AL12" s="127"/>
      <c r="AM12" s="127"/>
      <c r="AN12" s="127"/>
      <c r="AO12" s="127"/>
      <c r="AP12" s="127"/>
      <c r="AQ12" s="99">
        <f t="shared" si="5"/>
        <v>0</v>
      </c>
      <c r="AR12" s="99">
        <f t="shared" si="6"/>
        <v>3900</v>
      </c>
      <c r="AS12" s="99"/>
      <c r="AT12" s="99" t="s">
        <v>883</v>
      </c>
    </row>
    <row r="13" ht="28" customHeight="1" spans="1:46">
      <c r="A13" s="111">
        <v>11</v>
      </c>
      <c r="B13" s="114" t="s">
        <v>896</v>
      </c>
      <c r="C13" s="115" t="s">
        <v>885</v>
      </c>
      <c r="D13" s="25">
        <v>45748</v>
      </c>
      <c r="E13" s="20" t="s">
        <v>49</v>
      </c>
      <c r="F13" s="113">
        <v>31</v>
      </c>
      <c r="G13" s="119"/>
      <c r="H13" s="119"/>
      <c r="I13" s="119"/>
      <c r="J13" s="119"/>
      <c r="K13" s="119"/>
      <c r="L13" s="119"/>
      <c r="M13" s="119"/>
      <c r="N13" s="119"/>
      <c r="O13" s="141" t="s">
        <v>883</v>
      </c>
      <c r="P13" s="119"/>
      <c r="Q13" s="119"/>
      <c r="R13" s="119"/>
      <c r="S13" s="119"/>
      <c r="T13" s="99">
        <v>1800</v>
      </c>
      <c r="U13" s="99">
        <v>100</v>
      </c>
      <c r="V13" s="99">
        <v>200</v>
      </c>
      <c r="W13" s="99">
        <v>200</v>
      </c>
      <c r="X13" s="99">
        <v>500</v>
      </c>
      <c r="Y13" s="99">
        <v>100</v>
      </c>
      <c r="Z13" s="99">
        <v>1000</v>
      </c>
      <c r="AA13" s="99">
        <f t="shared" si="0"/>
        <v>3900</v>
      </c>
      <c r="AB13" s="127"/>
      <c r="AC13" s="127"/>
      <c r="AD13" s="127"/>
      <c r="AE13" s="127"/>
      <c r="AF13" s="127"/>
      <c r="AG13" s="127"/>
      <c r="AH13" s="127"/>
      <c r="AI13" s="127"/>
      <c r="AJ13" s="99">
        <f t="shared" si="1"/>
        <v>3900</v>
      </c>
      <c r="AK13" s="159"/>
      <c r="AL13" s="127"/>
      <c r="AM13" s="127"/>
      <c r="AN13" s="127"/>
      <c r="AO13" s="127"/>
      <c r="AP13" s="127"/>
      <c r="AQ13" s="99">
        <f t="shared" si="5"/>
        <v>0</v>
      </c>
      <c r="AR13" s="99">
        <f t="shared" si="6"/>
        <v>3900</v>
      </c>
      <c r="AS13" s="99"/>
      <c r="AT13" s="99" t="s">
        <v>883</v>
      </c>
    </row>
    <row r="14" ht="28" customHeight="1" spans="1:46">
      <c r="A14" s="111">
        <v>12</v>
      </c>
      <c r="B14" s="114" t="s">
        <v>897</v>
      </c>
      <c r="C14" s="115" t="s">
        <v>885</v>
      </c>
      <c r="D14" s="25">
        <v>45748</v>
      </c>
      <c r="E14" s="20" t="s">
        <v>49</v>
      </c>
      <c r="F14" s="113">
        <v>31</v>
      </c>
      <c r="G14" s="119"/>
      <c r="H14" s="119"/>
      <c r="I14" s="119"/>
      <c r="J14" s="119"/>
      <c r="K14" s="119"/>
      <c r="L14" s="119"/>
      <c r="M14" s="119"/>
      <c r="N14" s="119"/>
      <c r="O14" s="141" t="s">
        <v>883</v>
      </c>
      <c r="P14" s="119"/>
      <c r="Q14" s="119"/>
      <c r="R14" s="119"/>
      <c r="S14" s="119"/>
      <c r="T14" s="99">
        <v>1800</v>
      </c>
      <c r="U14" s="99">
        <v>100</v>
      </c>
      <c r="V14" s="99">
        <v>200</v>
      </c>
      <c r="W14" s="99">
        <v>200</v>
      </c>
      <c r="X14" s="99">
        <v>500</v>
      </c>
      <c r="Y14" s="99">
        <v>100</v>
      </c>
      <c r="Z14" s="99">
        <v>1000</v>
      </c>
      <c r="AA14" s="99">
        <f t="shared" si="0"/>
        <v>3900</v>
      </c>
      <c r="AB14" s="127"/>
      <c r="AC14" s="127"/>
      <c r="AD14" s="127"/>
      <c r="AE14" s="127"/>
      <c r="AF14" s="127"/>
      <c r="AG14" s="127"/>
      <c r="AH14" s="127"/>
      <c r="AI14" s="127"/>
      <c r="AJ14" s="99">
        <f t="shared" si="1"/>
        <v>3900</v>
      </c>
      <c r="AK14" s="127"/>
      <c r="AL14" s="127"/>
      <c r="AM14" s="127"/>
      <c r="AN14" s="127"/>
      <c r="AO14" s="127"/>
      <c r="AP14" s="127"/>
      <c r="AQ14" s="99">
        <f t="shared" si="5"/>
        <v>0</v>
      </c>
      <c r="AR14" s="99">
        <f t="shared" si="6"/>
        <v>3900</v>
      </c>
      <c r="AS14" s="99"/>
      <c r="AT14" s="99" t="s">
        <v>883</v>
      </c>
    </row>
    <row r="15" ht="38" customHeight="1" spans="1:46">
      <c r="A15" s="111">
        <v>13</v>
      </c>
      <c r="B15" s="114" t="s">
        <v>898</v>
      </c>
      <c r="C15" s="115" t="s">
        <v>885</v>
      </c>
      <c r="D15" s="25">
        <v>45748</v>
      </c>
      <c r="E15" s="20" t="s">
        <v>49</v>
      </c>
      <c r="F15" s="113">
        <v>31</v>
      </c>
      <c r="G15" s="119"/>
      <c r="H15" s="119"/>
      <c r="I15" s="119"/>
      <c r="J15" s="119"/>
      <c r="K15" s="119"/>
      <c r="L15" s="119"/>
      <c r="M15" s="119"/>
      <c r="N15" s="119"/>
      <c r="O15" s="141" t="s">
        <v>883</v>
      </c>
      <c r="P15" s="119"/>
      <c r="Q15" s="119"/>
      <c r="R15" s="119"/>
      <c r="S15" s="149"/>
      <c r="T15" s="99">
        <v>1800</v>
      </c>
      <c r="U15" s="99">
        <v>200</v>
      </c>
      <c r="V15" s="99">
        <v>200</v>
      </c>
      <c r="W15" s="99">
        <v>200</v>
      </c>
      <c r="X15" s="99">
        <v>300</v>
      </c>
      <c r="Y15" s="99">
        <v>200</v>
      </c>
      <c r="Z15" s="99">
        <v>1000</v>
      </c>
      <c r="AA15" s="99">
        <f t="shared" si="0"/>
        <v>3900</v>
      </c>
      <c r="AB15" s="127"/>
      <c r="AC15" s="127"/>
      <c r="AD15" s="127"/>
      <c r="AE15" s="127"/>
      <c r="AF15" s="127"/>
      <c r="AG15" s="127"/>
      <c r="AH15" s="127"/>
      <c r="AI15" s="127"/>
      <c r="AJ15" s="99">
        <f t="shared" si="1"/>
        <v>3900</v>
      </c>
      <c r="AK15" s="127"/>
      <c r="AL15" s="127"/>
      <c r="AM15" s="127"/>
      <c r="AN15" s="127"/>
      <c r="AO15" s="127"/>
      <c r="AP15" s="127"/>
      <c r="AQ15" s="99">
        <f t="shared" si="5"/>
        <v>0</v>
      </c>
      <c r="AR15" s="99">
        <f t="shared" si="6"/>
        <v>3900</v>
      </c>
      <c r="AS15" s="99"/>
      <c r="AT15" s="99" t="s">
        <v>883</v>
      </c>
    </row>
    <row r="16" ht="28" customHeight="1" spans="1:46">
      <c r="A16" s="111">
        <v>14</v>
      </c>
      <c r="B16" s="114" t="s">
        <v>899</v>
      </c>
      <c r="C16" s="115" t="s">
        <v>885</v>
      </c>
      <c r="D16" s="25">
        <v>45748</v>
      </c>
      <c r="E16" s="20" t="s">
        <v>49</v>
      </c>
      <c r="F16" s="113">
        <v>31</v>
      </c>
      <c r="G16" s="119"/>
      <c r="H16" s="119"/>
      <c r="I16" s="119"/>
      <c r="J16" s="119"/>
      <c r="K16" s="119"/>
      <c r="L16" s="119"/>
      <c r="M16" s="119"/>
      <c r="N16" s="119"/>
      <c r="O16" s="141" t="s">
        <v>900</v>
      </c>
      <c r="P16" s="119"/>
      <c r="Q16" s="119"/>
      <c r="R16" s="119"/>
      <c r="S16" s="119"/>
      <c r="T16" s="99">
        <v>1800</v>
      </c>
      <c r="U16" s="99">
        <v>100</v>
      </c>
      <c r="V16" s="99">
        <v>200</v>
      </c>
      <c r="W16" s="99">
        <v>200</v>
      </c>
      <c r="X16" s="99">
        <v>500</v>
      </c>
      <c r="Y16" s="99">
        <v>100</v>
      </c>
      <c r="Z16" s="99">
        <v>1000</v>
      </c>
      <c r="AA16" s="99">
        <f t="shared" si="0"/>
        <v>3900</v>
      </c>
      <c r="AB16" s="127"/>
      <c r="AC16" s="127"/>
      <c r="AD16" s="127"/>
      <c r="AE16" s="127"/>
      <c r="AF16" s="127"/>
      <c r="AG16" s="127"/>
      <c r="AH16" s="127"/>
      <c r="AI16" s="127"/>
      <c r="AJ16" s="99">
        <f t="shared" si="1"/>
        <v>3900</v>
      </c>
      <c r="AK16" s="127"/>
      <c r="AL16" s="127"/>
      <c r="AM16" s="127"/>
      <c r="AN16" s="127"/>
      <c r="AO16" s="127"/>
      <c r="AP16" s="127"/>
      <c r="AQ16" s="99">
        <f t="shared" si="5"/>
        <v>0</v>
      </c>
      <c r="AR16" s="102">
        <v>0</v>
      </c>
      <c r="AS16" s="99">
        <f>AJ16-AQ16</f>
        <v>3900</v>
      </c>
      <c r="AT16" s="161" t="s">
        <v>900</v>
      </c>
    </row>
    <row r="17" s="100" customFormat="1" ht="39" customHeight="1" spans="1:46">
      <c r="A17" s="111">
        <v>15</v>
      </c>
      <c r="B17" s="118" t="s">
        <v>901</v>
      </c>
      <c r="C17" s="114" t="s">
        <v>885</v>
      </c>
      <c r="D17" s="25">
        <v>45748</v>
      </c>
      <c r="E17" s="120" t="s">
        <v>107</v>
      </c>
      <c r="F17" s="113">
        <v>25</v>
      </c>
      <c r="O17" s="140" t="s">
        <v>902</v>
      </c>
      <c r="T17" s="150">
        <f>3900/31*25</f>
        <v>3145.16129032258</v>
      </c>
      <c r="AA17" s="99">
        <f t="shared" si="0"/>
        <v>3145.16129032258</v>
      </c>
      <c r="AJ17" s="99">
        <f t="shared" si="1"/>
        <v>3145.16129032258</v>
      </c>
      <c r="AQ17" s="99">
        <f t="shared" si="5"/>
        <v>0</v>
      </c>
      <c r="AR17" s="99">
        <f t="shared" si="6"/>
        <v>3145.16129032258</v>
      </c>
      <c r="AS17" s="99"/>
      <c r="AT17" s="99" t="s">
        <v>902</v>
      </c>
    </row>
    <row r="18" ht="28" customHeight="1" spans="1:46">
      <c r="A18" s="111">
        <v>16</v>
      </c>
      <c r="B18" s="114" t="s">
        <v>903</v>
      </c>
      <c r="C18" s="115" t="s">
        <v>885</v>
      </c>
      <c r="D18" s="25">
        <v>45748</v>
      </c>
      <c r="E18" s="20" t="s">
        <v>49</v>
      </c>
      <c r="F18" s="113">
        <v>31</v>
      </c>
      <c r="G18" s="119"/>
      <c r="H18" s="119"/>
      <c r="I18" s="119"/>
      <c r="J18" s="119"/>
      <c r="K18" s="119"/>
      <c r="L18" s="119"/>
      <c r="M18" s="119"/>
      <c r="N18" s="119"/>
      <c r="O18" s="141" t="s">
        <v>883</v>
      </c>
      <c r="P18" s="119"/>
      <c r="Q18" s="119"/>
      <c r="R18" s="119"/>
      <c r="S18" s="119"/>
      <c r="T18" s="99">
        <v>1800</v>
      </c>
      <c r="U18" s="99">
        <v>100</v>
      </c>
      <c r="V18" s="99">
        <v>200</v>
      </c>
      <c r="W18" s="99">
        <v>200</v>
      </c>
      <c r="X18" s="99">
        <v>500</v>
      </c>
      <c r="Y18" s="99">
        <v>100</v>
      </c>
      <c r="Z18" s="99">
        <v>1000</v>
      </c>
      <c r="AA18" s="99">
        <f t="shared" si="0"/>
        <v>3900</v>
      </c>
      <c r="AB18" s="127"/>
      <c r="AC18" s="127"/>
      <c r="AD18" s="127"/>
      <c r="AE18" s="127"/>
      <c r="AF18" s="127"/>
      <c r="AG18" s="127"/>
      <c r="AH18" s="127"/>
      <c r="AI18" s="127"/>
      <c r="AJ18" s="99">
        <f t="shared" si="1"/>
        <v>3900</v>
      </c>
      <c r="AK18" s="127"/>
      <c r="AL18" s="127"/>
      <c r="AM18" s="127"/>
      <c r="AN18" s="127"/>
      <c r="AO18" s="127"/>
      <c r="AP18" s="127"/>
      <c r="AQ18" s="99">
        <f t="shared" si="5"/>
        <v>0</v>
      </c>
      <c r="AR18" s="99">
        <f t="shared" si="6"/>
        <v>3900</v>
      </c>
      <c r="AS18" s="99"/>
      <c r="AT18" s="99" t="s">
        <v>883</v>
      </c>
    </row>
    <row r="19" ht="28" customHeight="1" spans="1:46">
      <c r="A19" s="111">
        <v>17</v>
      </c>
      <c r="B19" s="114" t="s">
        <v>904</v>
      </c>
      <c r="C19" s="115" t="s">
        <v>885</v>
      </c>
      <c r="D19" s="25">
        <v>45776</v>
      </c>
      <c r="E19" s="20" t="s">
        <v>49</v>
      </c>
      <c r="F19" s="113">
        <v>31</v>
      </c>
      <c r="G19" s="119"/>
      <c r="H19" s="119"/>
      <c r="I19" s="119"/>
      <c r="J19" s="119"/>
      <c r="K19" s="119"/>
      <c r="L19" s="119"/>
      <c r="M19" s="119"/>
      <c r="N19" s="119"/>
      <c r="O19" s="141" t="s">
        <v>905</v>
      </c>
      <c r="P19" s="119"/>
      <c r="Q19" s="119"/>
      <c r="R19" s="119"/>
      <c r="S19" s="119" t="s">
        <v>906</v>
      </c>
      <c r="T19" s="127">
        <v>1800</v>
      </c>
      <c r="U19" s="127">
        <v>100</v>
      </c>
      <c r="V19" s="99">
        <v>200</v>
      </c>
      <c r="W19" s="99">
        <v>200</v>
      </c>
      <c r="X19" s="99">
        <v>500</v>
      </c>
      <c r="Y19" s="99">
        <v>100</v>
      </c>
      <c r="Z19" s="99">
        <v>1000</v>
      </c>
      <c r="AA19" s="99">
        <f t="shared" si="0"/>
        <v>3900</v>
      </c>
      <c r="AB19" s="127"/>
      <c r="AC19" s="127"/>
      <c r="AD19" s="127"/>
      <c r="AE19" s="127"/>
      <c r="AF19" s="127"/>
      <c r="AG19" s="127"/>
      <c r="AH19" s="127"/>
      <c r="AI19" s="127"/>
      <c r="AJ19" s="99">
        <f t="shared" si="1"/>
        <v>3900</v>
      </c>
      <c r="AK19" s="127"/>
      <c r="AL19" s="127"/>
      <c r="AM19" s="127"/>
      <c r="AN19" s="127"/>
      <c r="AO19" s="127"/>
      <c r="AP19" s="127"/>
      <c r="AQ19" s="99">
        <f t="shared" si="5"/>
        <v>0</v>
      </c>
      <c r="AR19" s="99">
        <f t="shared" si="6"/>
        <v>3900</v>
      </c>
      <c r="AS19" s="99"/>
      <c r="AT19" s="99" t="s">
        <v>907</v>
      </c>
    </row>
    <row r="20" ht="28" customHeight="1" spans="1:46">
      <c r="A20" s="111">
        <v>18</v>
      </c>
      <c r="B20" s="114" t="s">
        <v>908</v>
      </c>
      <c r="C20" s="115" t="s">
        <v>885</v>
      </c>
      <c r="D20" s="25">
        <v>45774</v>
      </c>
      <c r="E20" s="20" t="s">
        <v>49</v>
      </c>
      <c r="F20" s="121">
        <v>31</v>
      </c>
      <c r="G20" s="119"/>
      <c r="H20" s="119"/>
      <c r="I20" s="119"/>
      <c r="J20" s="119"/>
      <c r="K20" s="119"/>
      <c r="L20" s="119"/>
      <c r="M20" s="119"/>
      <c r="N20" s="119"/>
      <c r="O20" s="141" t="s">
        <v>909</v>
      </c>
      <c r="P20" s="119"/>
      <c r="Q20" s="119"/>
      <c r="R20" s="119"/>
      <c r="S20" s="119" t="s">
        <v>906</v>
      </c>
      <c r="T20" s="99">
        <v>1800</v>
      </c>
      <c r="U20" s="99">
        <v>100</v>
      </c>
      <c r="V20" s="99">
        <v>200</v>
      </c>
      <c r="W20" s="99">
        <v>200</v>
      </c>
      <c r="X20" s="99">
        <v>500</v>
      </c>
      <c r="Y20" s="99">
        <v>100</v>
      </c>
      <c r="Z20" s="99">
        <v>1000</v>
      </c>
      <c r="AA20" s="99">
        <f t="shared" si="0"/>
        <v>3900</v>
      </c>
      <c r="AB20" s="127"/>
      <c r="AC20" s="127"/>
      <c r="AD20" s="127"/>
      <c r="AE20" s="127"/>
      <c r="AF20" s="127"/>
      <c r="AG20" s="127"/>
      <c r="AH20" s="127"/>
      <c r="AI20" s="127"/>
      <c r="AJ20" s="99">
        <f t="shared" si="1"/>
        <v>3900</v>
      </c>
      <c r="AK20" s="127"/>
      <c r="AL20" s="127"/>
      <c r="AM20" s="127"/>
      <c r="AN20" s="127"/>
      <c r="AO20" s="127"/>
      <c r="AP20" s="127"/>
      <c r="AQ20" s="99">
        <f t="shared" si="5"/>
        <v>0</v>
      </c>
      <c r="AR20" s="99">
        <f t="shared" si="6"/>
        <v>3900</v>
      </c>
      <c r="AS20" s="99"/>
      <c r="AT20" s="99" t="s">
        <v>910</v>
      </c>
    </row>
    <row r="21" ht="28" customHeight="1" spans="1:46">
      <c r="A21" s="111">
        <v>19</v>
      </c>
      <c r="B21" s="114" t="s">
        <v>911</v>
      </c>
      <c r="C21" s="115" t="s">
        <v>885</v>
      </c>
      <c r="D21" s="19">
        <v>45770</v>
      </c>
      <c r="E21" s="20" t="s">
        <v>49</v>
      </c>
      <c r="F21" s="121">
        <v>31</v>
      </c>
      <c r="G21" s="119"/>
      <c r="H21" s="119"/>
      <c r="I21" s="119"/>
      <c r="J21" s="119"/>
      <c r="K21" s="119"/>
      <c r="L21" s="119"/>
      <c r="M21" s="119"/>
      <c r="N21" s="119"/>
      <c r="O21" s="141" t="s">
        <v>912</v>
      </c>
      <c r="P21" s="119"/>
      <c r="Q21" s="119"/>
      <c r="R21" s="119"/>
      <c r="S21" s="119" t="s">
        <v>906</v>
      </c>
      <c r="T21" s="127">
        <v>1800</v>
      </c>
      <c r="U21" s="127">
        <v>100</v>
      </c>
      <c r="V21" s="99">
        <v>200</v>
      </c>
      <c r="W21" s="99">
        <v>200</v>
      </c>
      <c r="X21" s="99">
        <v>500</v>
      </c>
      <c r="Y21" s="99">
        <v>100</v>
      </c>
      <c r="Z21" s="99">
        <v>1000</v>
      </c>
      <c r="AA21" s="99">
        <f t="shared" si="0"/>
        <v>3900</v>
      </c>
      <c r="AB21" s="127"/>
      <c r="AC21" s="127"/>
      <c r="AD21" s="127"/>
      <c r="AE21" s="127"/>
      <c r="AF21" s="129"/>
      <c r="AG21" s="127"/>
      <c r="AH21" s="127"/>
      <c r="AI21" s="127"/>
      <c r="AJ21" s="99">
        <f t="shared" si="1"/>
        <v>3900</v>
      </c>
      <c r="AK21" s="127"/>
      <c r="AL21" s="127"/>
      <c r="AM21" s="127"/>
      <c r="AN21" s="127"/>
      <c r="AO21" s="127"/>
      <c r="AP21" s="127"/>
      <c r="AQ21" s="99">
        <f t="shared" si="5"/>
        <v>0</v>
      </c>
      <c r="AR21" s="99">
        <f t="shared" si="6"/>
        <v>3900</v>
      </c>
      <c r="AS21" s="99"/>
      <c r="AT21" s="99" t="s">
        <v>913</v>
      </c>
    </row>
    <row r="22" ht="28" customHeight="1" spans="1:46">
      <c r="A22" s="111">
        <v>20</v>
      </c>
      <c r="B22" s="114" t="s">
        <v>914</v>
      </c>
      <c r="C22" s="115" t="s">
        <v>885</v>
      </c>
      <c r="D22" s="19">
        <v>45748</v>
      </c>
      <c r="E22" s="20" t="s">
        <v>49</v>
      </c>
      <c r="F22" s="122">
        <v>31</v>
      </c>
      <c r="G22" s="119"/>
      <c r="H22" s="119"/>
      <c r="I22" s="119"/>
      <c r="J22" s="119"/>
      <c r="K22" s="119"/>
      <c r="L22" s="119"/>
      <c r="M22" s="119"/>
      <c r="N22" s="119"/>
      <c r="O22" s="141" t="s">
        <v>883</v>
      </c>
      <c r="P22" s="119"/>
      <c r="Q22" s="119"/>
      <c r="R22" s="119"/>
      <c r="S22" s="119"/>
      <c r="T22" s="127">
        <v>1500</v>
      </c>
      <c r="U22" s="127">
        <v>200</v>
      </c>
      <c r="V22" s="127">
        <v>200</v>
      </c>
      <c r="W22" s="127">
        <v>200</v>
      </c>
      <c r="X22" s="127">
        <v>500</v>
      </c>
      <c r="Y22" s="127">
        <v>100</v>
      </c>
      <c r="Z22" s="127">
        <v>1000</v>
      </c>
      <c r="AA22" s="99">
        <f t="shared" si="0"/>
        <v>3700</v>
      </c>
      <c r="AB22" s="127"/>
      <c r="AC22" s="127"/>
      <c r="AD22" s="127"/>
      <c r="AE22" s="127"/>
      <c r="AF22" s="127"/>
      <c r="AG22" s="127"/>
      <c r="AH22" s="127"/>
      <c r="AI22" s="127"/>
      <c r="AJ22" s="99">
        <f t="shared" si="1"/>
        <v>3700</v>
      </c>
      <c r="AK22" s="127"/>
      <c r="AL22" s="127"/>
      <c r="AM22" s="127"/>
      <c r="AN22" s="127"/>
      <c r="AO22" s="127"/>
      <c r="AP22" s="127"/>
      <c r="AQ22" s="99">
        <f t="shared" si="5"/>
        <v>0</v>
      </c>
      <c r="AR22" s="99">
        <f t="shared" si="6"/>
        <v>3700</v>
      </c>
      <c r="AS22" s="99"/>
      <c r="AT22" s="99" t="s">
        <v>883</v>
      </c>
    </row>
    <row r="23" ht="28" customHeight="1" spans="1:46">
      <c r="A23" s="111">
        <v>21</v>
      </c>
      <c r="B23" s="118" t="s">
        <v>915</v>
      </c>
      <c r="C23" s="115" t="s">
        <v>885</v>
      </c>
      <c r="D23" s="19">
        <v>45748</v>
      </c>
      <c r="E23" s="31" t="s">
        <v>107</v>
      </c>
      <c r="F23" s="113">
        <v>13</v>
      </c>
      <c r="G23" s="119"/>
      <c r="H23" s="119"/>
      <c r="I23" s="119"/>
      <c r="J23" s="119"/>
      <c r="K23" s="119"/>
      <c r="L23" s="119"/>
      <c r="M23" s="119"/>
      <c r="N23" s="119"/>
      <c r="O23" s="140" t="s">
        <v>916</v>
      </c>
      <c r="P23" s="119"/>
      <c r="Q23" s="119"/>
      <c r="R23" s="119"/>
      <c r="S23" s="119"/>
      <c r="T23" s="127">
        <f>3700/31*13</f>
        <v>1551.61290322581</v>
      </c>
      <c r="U23" s="127">
        <v>0</v>
      </c>
      <c r="V23" s="127">
        <v>0</v>
      </c>
      <c r="W23" s="127">
        <v>0</v>
      </c>
      <c r="X23" s="127">
        <v>0</v>
      </c>
      <c r="Y23" s="127">
        <v>0</v>
      </c>
      <c r="Z23" s="127">
        <v>0</v>
      </c>
      <c r="AA23" s="99">
        <f t="shared" si="0"/>
        <v>1551.61290322581</v>
      </c>
      <c r="AB23" s="127"/>
      <c r="AC23" s="127"/>
      <c r="AD23" s="127"/>
      <c r="AE23" s="127"/>
      <c r="AF23" s="127"/>
      <c r="AG23" s="127"/>
      <c r="AH23" s="127"/>
      <c r="AI23" s="127"/>
      <c r="AJ23" s="99">
        <f t="shared" si="1"/>
        <v>1551.61290322581</v>
      </c>
      <c r="AK23" s="127"/>
      <c r="AL23" s="127"/>
      <c r="AM23" s="127"/>
      <c r="AN23" s="127"/>
      <c r="AO23" s="127"/>
      <c r="AP23" s="127"/>
      <c r="AQ23" s="99">
        <f t="shared" si="5"/>
        <v>0</v>
      </c>
      <c r="AR23" s="99">
        <f t="shared" si="6"/>
        <v>1551.61290322581</v>
      </c>
      <c r="AS23" s="99"/>
      <c r="AT23" s="99" t="s">
        <v>916</v>
      </c>
    </row>
    <row r="24" ht="28" customHeight="1" spans="1:46">
      <c r="A24" s="111">
        <v>22</v>
      </c>
      <c r="B24" s="114" t="s">
        <v>607</v>
      </c>
      <c r="C24" s="115" t="s">
        <v>885</v>
      </c>
      <c r="D24" s="19">
        <v>45748</v>
      </c>
      <c r="E24" s="20" t="s">
        <v>49</v>
      </c>
      <c r="F24" s="113">
        <v>31</v>
      </c>
      <c r="G24" s="119"/>
      <c r="H24" s="119"/>
      <c r="I24" s="119"/>
      <c r="J24" s="119"/>
      <c r="K24" s="119"/>
      <c r="L24" s="119"/>
      <c r="M24" s="119"/>
      <c r="N24" s="119"/>
      <c r="O24" s="141" t="s">
        <v>883</v>
      </c>
      <c r="P24" s="119"/>
      <c r="Q24" s="119"/>
      <c r="R24" s="119"/>
      <c r="S24" s="119"/>
      <c r="T24" s="127">
        <v>1500</v>
      </c>
      <c r="U24" s="127">
        <v>200</v>
      </c>
      <c r="V24" s="127">
        <v>200</v>
      </c>
      <c r="W24" s="127">
        <v>200</v>
      </c>
      <c r="X24" s="127">
        <v>500</v>
      </c>
      <c r="Y24" s="127">
        <v>100</v>
      </c>
      <c r="Z24" s="127">
        <v>1000</v>
      </c>
      <c r="AA24" s="99">
        <f t="shared" si="0"/>
        <v>3700</v>
      </c>
      <c r="AB24" s="127"/>
      <c r="AC24" s="127"/>
      <c r="AD24" s="127"/>
      <c r="AE24" s="127"/>
      <c r="AF24" s="127"/>
      <c r="AG24" s="127"/>
      <c r="AH24" s="127"/>
      <c r="AI24" s="127"/>
      <c r="AJ24" s="99">
        <f t="shared" si="1"/>
        <v>3700</v>
      </c>
      <c r="AK24" s="127"/>
      <c r="AL24" s="127"/>
      <c r="AM24" s="127"/>
      <c r="AN24" s="127"/>
      <c r="AO24" s="127"/>
      <c r="AP24" s="127"/>
      <c r="AQ24" s="99">
        <f t="shared" si="5"/>
        <v>0</v>
      </c>
      <c r="AR24" s="99">
        <f t="shared" si="6"/>
        <v>3700</v>
      </c>
      <c r="AS24" s="99"/>
      <c r="AT24" s="99" t="s">
        <v>883</v>
      </c>
    </row>
    <row r="25" ht="28" customHeight="1" spans="1:46">
      <c r="A25" s="111">
        <v>23</v>
      </c>
      <c r="B25" s="114" t="s">
        <v>917</v>
      </c>
      <c r="C25" s="115" t="s">
        <v>885</v>
      </c>
      <c r="D25" s="19">
        <v>45748</v>
      </c>
      <c r="E25" s="20" t="s">
        <v>49</v>
      </c>
      <c r="F25" s="113">
        <v>31</v>
      </c>
      <c r="G25" s="119"/>
      <c r="H25" s="119"/>
      <c r="I25" s="119"/>
      <c r="J25" s="119"/>
      <c r="K25" s="119"/>
      <c r="L25" s="119"/>
      <c r="M25" s="119"/>
      <c r="N25" s="119"/>
      <c r="O25" s="141" t="s">
        <v>883</v>
      </c>
      <c r="P25" s="119"/>
      <c r="Q25" s="119"/>
      <c r="R25" s="119"/>
      <c r="S25" s="119"/>
      <c r="T25" s="127">
        <v>1500</v>
      </c>
      <c r="U25" s="127">
        <v>200</v>
      </c>
      <c r="V25" s="127">
        <v>200</v>
      </c>
      <c r="W25" s="127">
        <v>200</v>
      </c>
      <c r="X25" s="127">
        <v>500</v>
      </c>
      <c r="Y25" s="127">
        <v>100</v>
      </c>
      <c r="Z25" s="127">
        <v>1000</v>
      </c>
      <c r="AA25" s="99">
        <f t="shared" si="0"/>
        <v>3700</v>
      </c>
      <c r="AB25" s="127"/>
      <c r="AC25" s="127"/>
      <c r="AD25" s="127"/>
      <c r="AE25" s="127"/>
      <c r="AF25" s="127"/>
      <c r="AG25" s="127"/>
      <c r="AH25" s="127"/>
      <c r="AI25" s="127"/>
      <c r="AJ25" s="99">
        <f t="shared" si="1"/>
        <v>3700</v>
      </c>
      <c r="AK25" s="127"/>
      <c r="AL25" s="127"/>
      <c r="AM25" s="127"/>
      <c r="AN25" s="127"/>
      <c r="AO25" s="127"/>
      <c r="AP25" s="127"/>
      <c r="AQ25" s="99">
        <f t="shared" si="5"/>
        <v>0</v>
      </c>
      <c r="AR25" s="99">
        <f t="shared" si="6"/>
        <v>3700</v>
      </c>
      <c r="AS25" s="99"/>
      <c r="AT25" s="99" t="s">
        <v>883</v>
      </c>
    </row>
    <row r="26" ht="28" customHeight="1" spans="1:46">
      <c r="A26" s="111">
        <v>24</v>
      </c>
      <c r="B26" s="123" t="s">
        <v>918</v>
      </c>
      <c r="C26" s="115" t="s">
        <v>882</v>
      </c>
      <c r="D26" s="19">
        <v>45748</v>
      </c>
      <c r="E26" s="20" t="s">
        <v>49</v>
      </c>
      <c r="F26" s="113">
        <v>31</v>
      </c>
      <c r="G26" s="119"/>
      <c r="H26" s="119"/>
      <c r="I26" s="119"/>
      <c r="J26" s="119"/>
      <c r="K26" s="119"/>
      <c r="L26" s="119"/>
      <c r="M26" s="119"/>
      <c r="N26" s="119"/>
      <c r="O26" s="141" t="s">
        <v>883</v>
      </c>
      <c r="P26" s="119"/>
      <c r="Q26" s="119"/>
      <c r="R26" s="119"/>
      <c r="S26" s="149" t="s">
        <v>919</v>
      </c>
      <c r="T26" s="127">
        <v>1900</v>
      </c>
      <c r="U26" s="127">
        <v>200</v>
      </c>
      <c r="V26" s="127">
        <v>200</v>
      </c>
      <c r="W26" s="127">
        <v>200</v>
      </c>
      <c r="X26" s="127">
        <v>300</v>
      </c>
      <c r="Y26" s="127">
        <v>100</v>
      </c>
      <c r="Z26" s="127">
        <v>1000</v>
      </c>
      <c r="AA26" s="99">
        <f t="shared" si="0"/>
        <v>3900</v>
      </c>
      <c r="AB26" s="127"/>
      <c r="AC26" s="127"/>
      <c r="AD26" s="127"/>
      <c r="AE26" s="127"/>
      <c r="AF26" s="127"/>
      <c r="AG26" s="127"/>
      <c r="AH26" s="127"/>
      <c r="AI26" s="127"/>
      <c r="AJ26" s="99">
        <f t="shared" si="1"/>
        <v>3900</v>
      </c>
      <c r="AK26" s="127"/>
      <c r="AL26" s="127"/>
      <c r="AM26" s="127"/>
      <c r="AN26" s="127"/>
      <c r="AO26" s="127"/>
      <c r="AP26" s="127"/>
      <c r="AQ26" s="99">
        <f t="shared" si="5"/>
        <v>0</v>
      </c>
      <c r="AR26" s="99">
        <f t="shared" si="6"/>
        <v>3900</v>
      </c>
      <c r="AS26" s="99"/>
      <c r="AT26" s="99" t="s">
        <v>920</v>
      </c>
    </row>
    <row r="27" ht="28" customHeight="1" spans="1:46">
      <c r="A27" s="111">
        <v>25</v>
      </c>
      <c r="B27" s="114" t="s">
        <v>921</v>
      </c>
      <c r="C27" s="115" t="s">
        <v>885</v>
      </c>
      <c r="D27" s="19">
        <v>45748</v>
      </c>
      <c r="E27" s="20" t="s">
        <v>49</v>
      </c>
      <c r="F27" s="113">
        <v>31</v>
      </c>
      <c r="G27" s="119"/>
      <c r="H27" s="119"/>
      <c r="I27" s="119"/>
      <c r="J27" s="119"/>
      <c r="K27" s="119"/>
      <c r="L27" s="119"/>
      <c r="M27" s="119"/>
      <c r="N27" s="119"/>
      <c r="O27" s="141" t="s">
        <v>883</v>
      </c>
      <c r="P27" s="119"/>
      <c r="Q27" s="119"/>
      <c r="R27" s="119"/>
      <c r="S27" s="119"/>
      <c r="T27" s="127">
        <v>1500</v>
      </c>
      <c r="U27" s="127">
        <v>200</v>
      </c>
      <c r="V27" s="127">
        <v>200</v>
      </c>
      <c r="W27" s="127">
        <v>200</v>
      </c>
      <c r="X27" s="127">
        <v>500</v>
      </c>
      <c r="Y27" s="127">
        <v>100</v>
      </c>
      <c r="Z27" s="127">
        <v>1000</v>
      </c>
      <c r="AA27" s="99">
        <f t="shared" si="0"/>
        <v>3700</v>
      </c>
      <c r="AB27" s="127"/>
      <c r="AC27" s="127"/>
      <c r="AD27" s="127"/>
      <c r="AE27" s="127"/>
      <c r="AF27" s="127"/>
      <c r="AG27" s="127"/>
      <c r="AH27" s="127"/>
      <c r="AI27" s="127"/>
      <c r="AJ27" s="99">
        <f t="shared" si="1"/>
        <v>3700</v>
      </c>
      <c r="AK27" s="127"/>
      <c r="AL27" s="127"/>
      <c r="AM27" s="127"/>
      <c r="AN27" s="127"/>
      <c r="AO27" s="127"/>
      <c r="AP27" s="127"/>
      <c r="AQ27" s="99">
        <f t="shared" si="5"/>
        <v>0</v>
      </c>
      <c r="AR27" s="99">
        <f t="shared" si="6"/>
        <v>3700</v>
      </c>
      <c r="AS27" s="99"/>
      <c r="AT27" s="99" t="s">
        <v>883</v>
      </c>
    </row>
    <row r="28" ht="28" customHeight="1" spans="1:46">
      <c r="A28" s="111">
        <v>26</v>
      </c>
      <c r="B28" s="114" t="s">
        <v>922</v>
      </c>
      <c r="C28" s="115" t="s">
        <v>885</v>
      </c>
      <c r="D28" s="19">
        <v>45748</v>
      </c>
      <c r="E28" s="20" t="s">
        <v>49</v>
      </c>
      <c r="F28" s="113">
        <v>31</v>
      </c>
      <c r="G28" s="119"/>
      <c r="H28" s="119"/>
      <c r="I28" s="119"/>
      <c r="J28" s="119"/>
      <c r="K28" s="119"/>
      <c r="L28" s="119"/>
      <c r="M28" s="119"/>
      <c r="N28" s="119"/>
      <c r="O28" s="141" t="s">
        <v>883</v>
      </c>
      <c r="P28" s="119"/>
      <c r="Q28" s="119"/>
      <c r="R28" s="119"/>
      <c r="S28" s="119"/>
      <c r="T28" s="127">
        <v>1500</v>
      </c>
      <c r="U28" s="127">
        <v>200</v>
      </c>
      <c r="V28" s="127">
        <v>200</v>
      </c>
      <c r="W28" s="127">
        <v>200</v>
      </c>
      <c r="X28" s="127">
        <v>500</v>
      </c>
      <c r="Y28" s="127">
        <v>100</v>
      </c>
      <c r="Z28" s="127">
        <v>1000</v>
      </c>
      <c r="AA28" s="99">
        <f t="shared" si="0"/>
        <v>3700</v>
      </c>
      <c r="AB28" s="127"/>
      <c r="AC28" s="127"/>
      <c r="AD28" s="127"/>
      <c r="AE28" s="127"/>
      <c r="AF28" s="127"/>
      <c r="AG28" s="127"/>
      <c r="AH28" s="127"/>
      <c r="AI28" s="127"/>
      <c r="AJ28" s="99">
        <f t="shared" si="1"/>
        <v>3700</v>
      </c>
      <c r="AK28" s="127"/>
      <c r="AL28" s="127"/>
      <c r="AM28" s="127"/>
      <c r="AN28" s="127"/>
      <c r="AO28" s="127"/>
      <c r="AP28" s="127"/>
      <c r="AQ28" s="99">
        <f t="shared" si="5"/>
        <v>0</v>
      </c>
      <c r="AR28" s="99">
        <f t="shared" si="6"/>
        <v>3700</v>
      </c>
      <c r="AS28" s="99"/>
      <c r="AT28" s="99" t="s">
        <v>883</v>
      </c>
    </row>
    <row r="29" ht="28" customHeight="1" spans="1:46">
      <c r="A29" s="111">
        <v>27</v>
      </c>
      <c r="B29" s="114" t="s">
        <v>923</v>
      </c>
      <c r="C29" s="115" t="s">
        <v>885</v>
      </c>
      <c r="D29" s="19">
        <v>45748</v>
      </c>
      <c r="E29" s="20" t="s">
        <v>49</v>
      </c>
      <c r="F29" s="113">
        <v>31</v>
      </c>
      <c r="G29" s="119"/>
      <c r="H29" s="119"/>
      <c r="I29" s="119"/>
      <c r="J29" s="119"/>
      <c r="K29" s="119"/>
      <c r="L29" s="119"/>
      <c r="M29" s="119"/>
      <c r="N29" s="119"/>
      <c r="O29" s="141" t="s">
        <v>883</v>
      </c>
      <c r="P29" s="119"/>
      <c r="Q29" s="119"/>
      <c r="R29" s="119"/>
      <c r="S29" s="119"/>
      <c r="T29" s="127">
        <v>1500</v>
      </c>
      <c r="U29" s="127">
        <v>200</v>
      </c>
      <c r="V29" s="127">
        <v>200</v>
      </c>
      <c r="W29" s="127">
        <v>200</v>
      </c>
      <c r="X29" s="127">
        <v>500</v>
      </c>
      <c r="Y29" s="127">
        <v>100</v>
      </c>
      <c r="Z29" s="127">
        <v>1000</v>
      </c>
      <c r="AA29" s="99">
        <f t="shared" si="0"/>
        <v>3700</v>
      </c>
      <c r="AB29" s="127"/>
      <c r="AC29" s="127"/>
      <c r="AD29" s="127"/>
      <c r="AE29" s="127"/>
      <c r="AF29" s="127"/>
      <c r="AG29" s="127"/>
      <c r="AH29" s="127"/>
      <c r="AI29" s="127"/>
      <c r="AJ29" s="99">
        <f t="shared" si="1"/>
        <v>3700</v>
      </c>
      <c r="AK29" s="127"/>
      <c r="AL29" s="127"/>
      <c r="AM29" s="127"/>
      <c r="AN29" s="127"/>
      <c r="AO29" s="127"/>
      <c r="AP29" s="127"/>
      <c r="AQ29" s="99">
        <f t="shared" si="5"/>
        <v>0</v>
      </c>
      <c r="AR29" s="99">
        <f t="shared" si="6"/>
        <v>3700</v>
      </c>
      <c r="AS29" s="99"/>
      <c r="AT29" s="99" t="s">
        <v>883</v>
      </c>
    </row>
    <row r="30" ht="28" customHeight="1" spans="1:46">
      <c r="A30" s="111">
        <v>28</v>
      </c>
      <c r="B30" s="114" t="s">
        <v>924</v>
      </c>
      <c r="C30" s="115" t="s">
        <v>885</v>
      </c>
      <c r="D30" s="19">
        <v>45764</v>
      </c>
      <c r="E30" s="20" t="s">
        <v>49</v>
      </c>
      <c r="F30" s="113">
        <v>31</v>
      </c>
      <c r="G30" s="119"/>
      <c r="H30" s="119"/>
      <c r="I30" s="119"/>
      <c r="J30" s="119"/>
      <c r="K30" s="119"/>
      <c r="L30" s="119"/>
      <c r="M30" s="119"/>
      <c r="N30" s="119"/>
      <c r="O30" s="141" t="s">
        <v>925</v>
      </c>
      <c r="P30" s="119"/>
      <c r="Q30" s="119"/>
      <c r="R30" s="119"/>
      <c r="S30" s="119"/>
      <c r="T30" s="127">
        <v>1500</v>
      </c>
      <c r="U30" s="127">
        <v>200</v>
      </c>
      <c r="V30" s="127">
        <v>200</v>
      </c>
      <c r="W30" s="127">
        <v>200</v>
      </c>
      <c r="X30" s="127">
        <v>500</v>
      </c>
      <c r="Y30" s="127">
        <v>200</v>
      </c>
      <c r="Z30" s="127">
        <v>1000</v>
      </c>
      <c r="AA30" s="99">
        <f t="shared" si="0"/>
        <v>3800</v>
      </c>
      <c r="AB30" s="127"/>
      <c r="AC30" s="127"/>
      <c r="AD30" s="127"/>
      <c r="AE30" s="127"/>
      <c r="AF30" s="127"/>
      <c r="AG30" s="127"/>
      <c r="AH30" s="127"/>
      <c r="AI30" s="127"/>
      <c r="AJ30" s="99">
        <f t="shared" si="1"/>
        <v>3800</v>
      </c>
      <c r="AK30" s="127"/>
      <c r="AL30" s="127"/>
      <c r="AM30" s="127"/>
      <c r="AN30" s="127"/>
      <c r="AO30" s="127"/>
      <c r="AP30" s="127"/>
      <c r="AQ30" s="99">
        <f t="shared" si="5"/>
        <v>0</v>
      </c>
      <c r="AR30" s="99">
        <f t="shared" si="6"/>
        <v>3800</v>
      </c>
      <c r="AS30" s="99"/>
      <c r="AT30" s="99" t="s">
        <v>925</v>
      </c>
    </row>
    <row r="31" s="101" customFormat="1" ht="35" customHeight="1" spans="1:46">
      <c r="A31" s="111">
        <v>29</v>
      </c>
      <c r="B31" s="118" t="s">
        <v>926</v>
      </c>
      <c r="C31" s="124" t="s">
        <v>885</v>
      </c>
      <c r="D31" s="19">
        <v>45764</v>
      </c>
      <c r="E31" s="31" t="s">
        <v>107</v>
      </c>
      <c r="F31" s="113">
        <v>0</v>
      </c>
      <c r="G31" s="125"/>
      <c r="H31" s="125"/>
      <c r="I31" s="125"/>
      <c r="J31" s="125"/>
      <c r="K31" s="125"/>
      <c r="L31" s="125"/>
      <c r="M31" s="125"/>
      <c r="N31" s="125"/>
      <c r="O31" s="142" t="s">
        <v>927</v>
      </c>
      <c r="P31" s="125"/>
      <c r="Q31" s="125"/>
      <c r="R31" s="125"/>
      <c r="S31" s="125"/>
      <c r="T31" s="151">
        <v>0</v>
      </c>
      <c r="U31" s="151">
        <v>0</v>
      </c>
      <c r="V31" s="151">
        <v>0</v>
      </c>
      <c r="W31" s="151">
        <v>0</v>
      </c>
      <c r="X31" s="151">
        <v>0</v>
      </c>
      <c r="Y31" s="151">
        <v>0</v>
      </c>
      <c r="Z31" s="151">
        <v>0</v>
      </c>
      <c r="AA31" s="99">
        <f t="shared" si="0"/>
        <v>0</v>
      </c>
      <c r="AB31" s="151"/>
      <c r="AC31" s="151"/>
      <c r="AD31" s="151">
        <f>3700/30*11</f>
        <v>1356.66666666667</v>
      </c>
      <c r="AE31" s="151"/>
      <c r="AF31" s="151"/>
      <c r="AG31" s="151"/>
      <c r="AH31" s="151"/>
      <c r="AI31" s="151"/>
      <c r="AJ31" s="99">
        <f t="shared" si="1"/>
        <v>1356.66666666667</v>
      </c>
      <c r="AK31" s="151"/>
      <c r="AL31" s="151"/>
      <c r="AM31" s="151"/>
      <c r="AN31" s="151"/>
      <c r="AO31" s="151"/>
      <c r="AP31" s="151"/>
      <c r="AQ31" s="99">
        <f t="shared" si="5"/>
        <v>0</v>
      </c>
      <c r="AR31" s="99">
        <f t="shared" si="6"/>
        <v>1356.66666666667</v>
      </c>
      <c r="AS31" s="99"/>
      <c r="AT31" s="162" t="s">
        <v>927</v>
      </c>
    </row>
    <row r="32" ht="28" customHeight="1" spans="1:46">
      <c r="A32" s="111">
        <v>30</v>
      </c>
      <c r="B32" s="114" t="s">
        <v>928</v>
      </c>
      <c r="C32" s="115" t="s">
        <v>885</v>
      </c>
      <c r="D32" s="19">
        <v>45748</v>
      </c>
      <c r="E32" s="20" t="s">
        <v>49</v>
      </c>
      <c r="F32" s="113">
        <v>31</v>
      </c>
      <c r="G32" s="119"/>
      <c r="H32" s="119"/>
      <c r="I32" s="119"/>
      <c r="J32" s="119"/>
      <c r="K32" s="119"/>
      <c r="L32" s="119"/>
      <c r="M32" s="119"/>
      <c r="N32" s="119"/>
      <c r="O32" s="141" t="s">
        <v>883</v>
      </c>
      <c r="P32" s="119"/>
      <c r="Q32" s="119"/>
      <c r="R32" s="119"/>
      <c r="S32" s="119"/>
      <c r="T32" s="127">
        <v>1500</v>
      </c>
      <c r="U32" s="127">
        <v>200</v>
      </c>
      <c r="V32" s="127">
        <v>200</v>
      </c>
      <c r="W32" s="127">
        <v>200</v>
      </c>
      <c r="X32" s="127">
        <v>500</v>
      </c>
      <c r="Y32" s="127">
        <v>100</v>
      </c>
      <c r="Z32" s="127">
        <v>900</v>
      </c>
      <c r="AA32" s="99">
        <f t="shared" si="0"/>
        <v>3600</v>
      </c>
      <c r="AB32" s="127"/>
      <c r="AC32" s="127"/>
      <c r="AD32" s="127"/>
      <c r="AE32" s="127"/>
      <c r="AF32" s="127"/>
      <c r="AG32" s="127"/>
      <c r="AH32" s="127"/>
      <c r="AI32" s="127"/>
      <c r="AJ32" s="99">
        <f t="shared" si="1"/>
        <v>3600</v>
      </c>
      <c r="AK32" s="127"/>
      <c r="AL32" s="127"/>
      <c r="AM32" s="127"/>
      <c r="AN32" s="127"/>
      <c r="AO32" s="127"/>
      <c r="AP32" s="127"/>
      <c r="AQ32" s="99">
        <f t="shared" si="5"/>
        <v>0</v>
      </c>
      <c r="AR32" s="99">
        <f t="shared" si="6"/>
        <v>3600</v>
      </c>
      <c r="AS32" s="99"/>
      <c r="AT32" s="99" t="s">
        <v>883</v>
      </c>
    </row>
    <row r="33" ht="28" customHeight="1" spans="1:46">
      <c r="A33" s="111">
        <v>31</v>
      </c>
      <c r="B33" s="118" t="s">
        <v>929</v>
      </c>
      <c r="C33" s="115" t="s">
        <v>885</v>
      </c>
      <c r="D33" s="19">
        <v>45770</v>
      </c>
      <c r="E33" s="31" t="s">
        <v>107</v>
      </c>
      <c r="F33" s="113">
        <v>6</v>
      </c>
      <c r="G33" s="119"/>
      <c r="H33" s="119"/>
      <c r="I33" s="119"/>
      <c r="J33" s="119"/>
      <c r="K33" s="119"/>
      <c r="L33" s="119"/>
      <c r="M33" s="119"/>
      <c r="N33" s="119"/>
      <c r="O33" s="140" t="s">
        <v>930</v>
      </c>
      <c r="P33" s="119"/>
      <c r="Q33" s="119"/>
      <c r="R33" s="119"/>
      <c r="S33" s="119"/>
      <c r="T33" s="127">
        <f>3600/31*6</f>
        <v>696.774193548387</v>
      </c>
      <c r="U33" s="127">
        <v>0</v>
      </c>
      <c r="V33" s="127">
        <v>0</v>
      </c>
      <c r="W33" s="127">
        <v>0</v>
      </c>
      <c r="X33" s="127">
        <v>0</v>
      </c>
      <c r="Y33" s="127">
        <v>0</v>
      </c>
      <c r="Z33" s="127">
        <v>0</v>
      </c>
      <c r="AA33" s="99">
        <f t="shared" si="0"/>
        <v>696.774193548387</v>
      </c>
      <c r="AB33" s="127"/>
      <c r="AC33" s="127"/>
      <c r="AD33" s="127"/>
      <c r="AE33" s="127"/>
      <c r="AF33" s="127"/>
      <c r="AG33" s="127"/>
      <c r="AH33" s="127"/>
      <c r="AI33" s="127"/>
      <c r="AJ33" s="99">
        <f t="shared" si="1"/>
        <v>696.774193548387</v>
      </c>
      <c r="AK33" s="127"/>
      <c r="AL33" s="127"/>
      <c r="AM33" s="127"/>
      <c r="AN33" s="127"/>
      <c r="AO33" s="127"/>
      <c r="AP33" s="127"/>
      <c r="AQ33" s="99">
        <f t="shared" si="5"/>
        <v>0</v>
      </c>
      <c r="AR33" s="99">
        <f t="shared" si="6"/>
        <v>696.774193548387</v>
      </c>
      <c r="AS33" s="99"/>
      <c r="AT33" s="99" t="s">
        <v>930</v>
      </c>
    </row>
    <row r="34" ht="28" customHeight="1" spans="1:46">
      <c r="A34" s="111">
        <v>32</v>
      </c>
      <c r="B34" s="114" t="s">
        <v>931</v>
      </c>
      <c r="C34" s="115" t="s">
        <v>885</v>
      </c>
      <c r="D34" s="19">
        <v>45748</v>
      </c>
      <c r="E34" s="20" t="s">
        <v>49</v>
      </c>
      <c r="F34" s="113">
        <v>31</v>
      </c>
      <c r="G34" s="119"/>
      <c r="H34" s="119"/>
      <c r="I34" s="119"/>
      <c r="J34" s="119"/>
      <c r="K34" s="119"/>
      <c r="L34" s="119"/>
      <c r="M34" s="119"/>
      <c r="N34" s="119"/>
      <c r="O34" s="141" t="s">
        <v>883</v>
      </c>
      <c r="P34" s="119"/>
      <c r="Q34" s="119"/>
      <c r="R34" s="119"/>
      <c r="S34" s="119"/>
      <c r="T34" s="127">
        <v>1500</v>
      </c>
      <c r="U34" s="127">
        <v>200</v>
      </c>
      <c r="V34" s="127">
        <v>200</v>
      </c>
      <c r="W34" s="127">
        <v>200</v>
      </c>
      <c r="X34" s="127">
        <v>500</v>
      </c>
      <c r="Y34" s="127">
        <v>100</v>
      </c>
      <c r="Z34" s="127">
        <v>900</v>
      </c>
      <c r="AA34" s="99">
        <f t="shared" si="0"/>
        <v>3600</v>
      </c>
      <c r="AB34" s="127"/>
      <c r="AC34" s="127"/>
      <c r="AD34" s="127"/>
      <c r="AE34" s="127"/>
      <c r="AF34" s="127"/>
      <c r="AG34" s="127"/>
      <c r="AH34" s="127"/>
      <c r="AI34" s="127"/>
      <c r="AJ34" s="99">
        <f t="shared" si="1"/>
        <v>3600</v>
      </c>
      <c r="AK34" s="127"/>
      <c r="AL34" s="127"/>
      <c r="AM34" s="127"/>
      <c r="AN34" s="127"/>
      <c r="AO34" s="127"/>
      <c r="AP34" s="127"/>
      <c r="AQ34" s="99">
        <f t="shared" si="5"/>
        <v>0</v>
      </c>
      <c r="AR34" s="99">
        <f t="shared" si="6"/>
        <v>3600</v>
      </c>
      <c r="AS34" s="99"/>
      <c r="AT34" s="99" t="s">
        <v>883</v>
      </c>
    </row>
    <row r="35" ht="28" customHeight="1" spans="1:46">
      <c r="A35" s="111">
        <v>33</v>
      </c>
      <c r="B35" s="114" t="s">
        <v>932</v>
      </c>
      <c r="C35" s="115" t="s">
        <v>882</v>
      </c>
      <c r="D35" s="19">
        <v>45748</v>
      </c>
      <c r="E35" s="20" t="s">
        <v>49</v>
      </c>
      <c r="F35" s="113">
        <v>31</v>
      </c>
      <c r="G35" s="119"/>
      <c r="H35" s="119"/>
      <c r="I35" s="119"/>
      <c r="J35" s="119"/>
      <c r="K35" s="119"/>
      <c r="L35" s="119"/>
      <c r="M35" s="119"/>
      <c r="N35" s="119"/>
      <c r="O35" s="141" t="s">
        <v>883</v>
      </c>
      <c r="P35" s="119"/>
      <c r="Q35" s="119"/>
      <c r="R35" s="119"/>
      <c r="S35" s="119"/>
      <c r="T35" s="127">
        <v>1500</v>
      </c>
      <c r="U35" s="127">
        <v>200</v>
      </c>
      <c r="V35" s="127">
        <v>200</v>
      </c>
      <c r="W35" s="127">
        <v>200</v>
      </c>
      <c r="X35" s="127">
        <v>500</v>
      </c>
      <c r="Y35" s="127">
        <v>100</v>
      </c>
      <c r="Z35" s="127">
        <v>1000</v>
      </c>
      <c r="AA35" s="99">
        <f t="shared" si="0"/>
        <v>3700</v>
      </c>
      <c r="AB35" s="127"/>
      <c r="AC35" s="127"/>
      <c r="AD35" s="127"/>
      <c r="AE35" s="127"/>
      <c r="AF35" s="127"/>
      <c r="AG35" s="127"/>
      <c r="AH35" s="127"/>
      <c r="AI35" s="127"/>
      <c r="AJ35" s="99">
        <f t="shared" si="1"/>
        <v>3700</v>
      </c>
      <c r="AK35" s="127"/>
      <c r="AL35" s="127"/>
      <c r="AM35" s="127"/>
      <c r="AN35" s="127"/>
      <c r="AO35" s="127"/>
      <c r="AP35" s="127"/>
      <c r="AQ35" s="99">
        <f t="shared" si="5"/>
        <v>0</v>
      </c>
      <c r="AR35" s="99">
        <f t="shared" si="6"/>
        <v>3700</v>
      </c>
      <c r="AS35" s="99"/>
      <c r="AT35" s="99" t="s">
        <v>883</v>
      </c>
    </row>
    <row r="36" ht="29" customHeight="1" spans="1:46">
      <c r="A36" s="111">
        <v>34</v>
      </c>
      <c r="B36" s="126" t="s">
        <v>933</v>
      </c>
      <c r="C36" s="127" t="s">
        <v>934</v>
      </c>
      <c r="D36" s="128">
        <v>45773</v>
      </c>
      <c r="E36" s="127" t="s">
        <v>49</v>
      </c>
      <c r="F36" s="121">
        <v>31</v>
      </c>
      <c r="G36" s="129"/>
      <c r="H36" s="129"/>
      <c r="I36" s="129"/>
      <c r="J36" s="129"/>
      <c r="K36" s="129"/>
      <c r="L36" s="129"/>
      <c r="M36" s="129"/>
      <c r="N36" s="129"/>
      <c r="O36" s="141" t="s">
        <v>935</v>
      </c>
      <c r="P36" s="129"/>
      <c r="Q36" s="129"/>
      <c r="R36" s="129"/>
      <c r="S36" s="129"/>
      <c r="T36" s="129">
        <v>1500</v>
      </c>
      <c r="U36" s="129">
        <v>0</v>
      </c>
      <c r="V36" s="129">
        <v>0</v>
      </c>
      <c r="W36" s="129">
        <v>0</v>
      </c>
      <c r="X36" s="129">
        <v>500</v>
      </c>
      <c r="Y36" s="129">
        <v>100</v>
      </c>
      <c r="Z36" s="129">
        <v>1000</v>
      </c>
      <c r="AA36" s="99">
        <f t="shared" si="0"/>
        <v>3100</v>
      </c>
      <c r="AB36" s="127"/>
      <c r="AC36" s="127"/>
      <c r="AD36" s="127"/>
      <c r="AE36" s="127"/>
      <c r="AF36" s="127"/>
      <c r="AG36" s="127"/>
      <c r="AH36" s="127"/>
      <c r="AI36" s="127"/>
      <c r="AJ36" s="99">
        <f t="shared" si="1"/>
        <v>3100</v>
      </c>
      <c r="AK36" s="127"/>
      <c r="AL36" s="127"/>
      <c r="AM36" s="127"/>
      <c r="AN36" s="127"/>
      <c r="AO36" s="127"/>
      <c r="AP36" s="127"/>
      <c r="AQ36" s="99">
        <f t="shared" si="5"/>
        <v>0</v>
      </c>
      <c r="AR36" s="99">
        <f t="shared" si="6"/>
        <v>3100</v>
      </c>
      <c r="AS36" s="99"/>
      <c r="AT36" s="99" t="s">
        <v>935</v>
      </c>
    </row>
    <row r="37" ht="28" customHeight="1" spans="1:46">
      <c r="A37" s="111">
        <v>35</v>
      </c>
      <c r="B37" s="114" t="s">
        <v>936</v>
      </c>
      <c r="C37" s="115" t="s">
        <v>885</v>
      </c>
      <c r="D37" s="25">
        <v>45776</v>
      </c>
      <c r="E37" s="20" t="s">
        <v>49</v>
      </c>
      <c r="F37" s="113">
        <v>31</v>
      </c>
      <c r="G37" s="119"/>
      <c r="H37" s="119"/>
      <c r="I37" s="119"/>
      <c r="J37" s="119"/>
      <c r="K37" s="119"/>
      <c r="L37" s="119"/>
      <c r="M37" s="119"/>
      <c r="N37" s="119"/>
      <c r="O37" s="139" t="s">
        <v>937</v>
      </c>
      <c r="P37" s="119"/>
      <c r="Q37" s="119"/>
      <c r="R37" s="119"/>
      <c r="S37" s="119"/>
      <c r="T37" s="127">
        <v>1500</v>
      </c>
      <c r="U37" s="127">
        <v>200</v>
      </c>
      <c r="V37" s="127">
        <v>200</v>
      </c>
      <c r="W37" s="127">
        <v>200</v>
      </c>
      <c r="X37" s="127">
        <v>500</v>
      </c>
      <c r="Y37" s="127">
        <v>0</v>
      </c>
      <c r="Z37" s="127">
        <v>1000</v>
      </c>
      <c r="AA37" s="99">
        <f t="shared" si="0"/>
        <v>3600</v>
      </c>
      <c r="AB37" s="127"/>
      <c r="AC37" s="127"/>
      <c r="AD37" s="127"/>
      <c r="AE37" s="127"/>
      <c r="AF37" s="127"/>
      <c r="AG37" s="127"/>
      <c r="AH37" s="127"/>
      <c r="AI37" s="127"/>
      <c r="AJ37" s="99">
        <f t="shared" si="1"/>
        <v>3600</v>
      </c>
      <c r="AK37" s="127"/>
      <c r="AL37" s="127"/>
      <c r="AM37" s="127"/>
      <c r="AN37" s="127"/>
      <c r="AO37" s="127"/>
      <c r="AP37" s="127"/>
      <c r="AQ37" s="99">
        <f t="shared" si="5"/>
        <v>0</v>
      </c>
      <c r="AR37" s="99">
        <f t="shared" si="6"/>
        <v>3600</v>
      </c>
      <c r="AS37" s="99"/>
      <c r="AT37" s="99" t="s">
        <v>937</v>
      </c>
    </row>
    <row r="38" ht="29" customHeight="1" spans="1:46">
      <c r="A38" s="111">
        <v>36</v>
      </c>
      <c r="B38" s="130" t="s">
        <v>938</v>
      </c>
      <c r="C38" s="127" t="s">
        <v>106</v>
      </c>
      <c r="D38" s="131">
        <v>45798</v>
      </c>
      <c r="E38" s="132" t="s">
        <v>65</v>
      </c>
      <c r="F38" s="122">
        <v>11</v>
      </c>
      <c r="G38" s="133"/>
      <c r="H38" s="129"/>
      <c r="I38" s="129"/>
      <c r="J38" s="129"/>
      <c r="K38" s="129"/>
      <c r="L38" s="129"/>
      <c r="M38" s="129"/>
      <c r="N38" s="129"/>
      <c r="O38" s="141" t="s">
        <v>939</v>
      </c>
      <c r="P38" s="129"/>
      <c r="Q38" s="129"/>
      <c r="R38" s="129"/>
      <c r="S38" s="129"/>
      <c r="T38" s="129">
        <f>4000/31*11</f>
        <v>1419.35483870968</v>
      </c>
      <c r="U38" s="129">
        <v>0</v>
      </c>
      <c r="V38" s="129">
        <v>0</v>
      </c>
      <c r="W38" s="129">
        <v>0</v>
      </c>
      <c r="X38" s="129">
        <v>0</v>
      </c>
      <c r="Y38" s="129">
        <v>0</v>
      </c>
      <c r="Z38" s="129">
        <v>0</v>
      </c>
      <c r="AA38" s="99">
        <f t="shared" si="0"/>
        <v>1419.35483870968</v>
      </c>
      <c r="AB38" s="127"/>
      <c r="AC38" s="127"/>
      <c r="AD38" s="127"/>
      <c r="AE38" s="127"/>
      <c r="AF38" s="127"/>
      <c r="AG38" s="127"/>
      <c r="AH38" s="127"/>
      <c r="AI38" s="127"/>
      <c r="AJ38" s="99">
        <f t="shared" si="1"/>
        <v>1419.35483870968</v>
      </c>
      <c r="AK38" s="127"/>
      <c r="AL38" s="127"/>
      <c r="AM38" s="127"/>
      <c r="AN38" s="127"/>
      <c r="AO38" s="127"/>
      <c r="AP38" s="127"/>
      <c r="AQ38" s="99">
        <f t="shared" si="5"/>
        <v>0</v>
      </c>
      <c r="AR38" s="99">
        <f t="shared" si="6"/>
        <v>1419.35483870968</v>
      </c>
      <c r="AS38" s="99"/>
      <c r="AT38" s="99" t="s">
        <v>939</v>
      </c>
    </row>
    <row r="39" ht="29" customHeight="1" spans="1:46">
      <c r="A39" s="111">
        <v>37</v>
      </c>
      <c r="B39" s="130" t="s">
        <v>940</v>
      </c>
      <c r="C39" s="127" t="s">
        <v>885</v>
      </c>
      <c r="D39" s="131">
        <v>45797</v>
      </c>
      <c r="E39" s="132" t="s">
        <v>65</v>
      </c>
      <c r="F39" s="122">
        <v>12</v>
      </c>
      <c r="G39" s="129"/>
      <c r="H39" s="129"/>
      <c r="I39" s="129"/>
      <c r="J39" s="129"/>
      <c r="K39" s="129"/>
      <c r="L39" s="129"/>
      <c r="M39" s="129"/>
      <c r="N39" s="129"/>
      <c r="O39" s="141" t="s">
        <v>941</v>
      </c>
      <c r="P39" s="129"/>
      <c r="Q39" s="129"/>
      <c r="R39" s="129"/>
      <c r="S39" s="129"/>
      <c r="T39" s="129">
        <f>3900/31*12</f>
        <v>1509.67741935484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99">
        <f t="shared" si="0"/>
        <v>1509.67741935484</v>
      </c>
      <c r="AB39" s="127"/>
      <c r="AC39" s="127"/>
      <c r="AD39" s="127"/>
      <c r="AE39" s="127"/>
      <c r="AF39" s="127"/>
      <c r="AG39" s="127"/>
      <c r="AH39" s="127"/>
      <c r="AI39" s="127"/>
      <c r="AJ39" s="99">
        <f t="shared" si="1"/>
        <v>1509.67741935484</v>
      </c>
      <c r="AK39" s="127"/>
      <c r="AL39" s="127"/>
      <c r="AM39" s="127"/>
      <c r="AN39" s="127"/>
      <c r="AO39" s="127"/>
      <c r="AP39" s="127"/>
      <c r="AQ39" s="99">
        <f t="shared" si="5"/>
        <v>0</v>
      </c>
      <c r="AR39" s="99">
        <f t="shared" si="6"/>
        <v>1509.67741935484</v>
      </c>
      <c r="AS39" s="99"/>
      <c r="AT39" s="99" t="s">
        <v>941</v>
      </c>
    </row>
    <row r="40" ht="29" customHeight="1" spans="1:46">
      <c r="A40" s="111">
        <v>38</v>
      </c>
      <c r="B40" s="134" t="s">
        <v>942</v>
      </c>
      <c r="C40" s="127" t="s">
        <v>885</v>
      </c>
      <c r="D40" s="128">
        <v>45807</v>
      </c>
      <c r="E40" s="135" t="s">
        <v>107</v>
      </c>
      <c r="F40" s="122">
        <v>2</v>
      </c>
      <c r="G40" s="129"/>
      <c r="H40" s="129"/>
      <c r="I40" s="129"/>
      <c r="J40" s="129"/>
      <c r="K40" s="129"/>
      <c r="L40" s="129"/>
      <c r="M40" s="129"/>
      <c r="N40" s="129"/>
      <c r="O40" s="141" t="s">
        <v>943</v>
      </c>
      <c r="P40" s="129"/>
      <c r="Q40" s="129"/>
      <c r="R40" s="129"/>
      <c r="S40" s="129"/>
      <c r="T40" s="129">
        <f>3800/31*2</f>
        <v>245.161290322581</v>
      </c>
      <c r="U40" s="129">
        <v>0</v>
      </c>
      <c r="V40" s="129">
        <v>0</v>
      </c>
      <c r="W40" s="129">
        <v>0</v>
      </c>
      <c r="X40" s="129">
        <v>0</v>
      </c>
      <c r="Y40" s="129">
        <v>0</v>
      </c>
      <c r="Z40" s="129">
        <v>0</v>
      </c>
      <c r="AA40" s="99">
        <f t="shared" si="0"/>
        <v>245.161290322581</v>
      </c>
      <c r="AB40" s="127"/>
      <c r="AC40" s="127"/>
      <c r="AD40" s="127"/>
      <c r="AE40" s="127"/>
      <c r="AF40" s="127"/>
      <c r="AG40" s="127"/>
      <c r="AH40" s="127"/>
      <c r="AI40" s="127"/>
      <c r="AJ40" s="99">
        <f t="shared" si="1"/>
        <v>245.161290322581</v>
      </c>
      <c r="AK40" s="127"/>
      <c r="AL40" s="127"/>
      <c r="AM40" s="127"/>
      <c r="AN40" s="127"/>
      <c r="AO40" s="127"/>
      <c r="AP40" s="127"/>
      <c r="AQ40" s="99">
        <f t="shared" si="5"/>
        <v>0</v>
      </c>
      <c r="AR40" s="99">
        <f t="shared" si="6"/>
        <v>245.161290322581</v>
      </c>
      <c r="AS40" s="99"/>
      <c r="AT40" s="99" t="s">
        <v>943</v>
      </c>
    </row>
    <row r="41" ht="29" customHeight="1" spans="1:46">
      <c r="A41" s="111">
        <v>39</v>
      </c>
      <c r="B41" s="136" t="s">
        <v>944</v>
      </c>
      <c r="C41" s="127" t="s">
        <v>934</v>
      </c>
      <c r="D41" s="128">
        <v>45778</v>
      </c>
      <c r="E41" s="127" t="s">
        <v>49</v>
      </c>
      <c r="F41" s="122">
        <v>31</v>
      </c>
      <c r="G41" s="129"/>
      <c r="H41" s="129"/>
      <c r="I41" s="129"/>
      <c r="J41" s="129"/>
      <c r="K41" s="129"/>
      <c r="L41" s="129"/>
      <c r="M41" s="129"/>
      <c r="N41" s="129"/>
      <c r="O41" s="141" t="s">
        <v>945</v>
      </c>
      <c r="P41" s="129"/>
      <c r="Q41" s="129"/>
      <c r="R41" s="129"/>
      <c r="S41" s="129"/>
      <c r="T41" s="129">
        <v>1500</v>
      </c>
      <c r="U41" s="129">
        <v>200</v>
      </c>
      <c r="V41" s="129">
        <v>200</v>
      </c>
      <c r="W41" s="129">
        <v>200</v>
      </c>
      <c r="X41" s="129">
        <v>500</v>
      </c>
      <c r="Y41" s="129">
        <v>100</v>
      </c>
      <c r="Z41" s="129">
        <v>1000</v>
      </c>
      <c r="AA41" s="99">
        <f t="shared" si="0"/>
        <v>3700</v>
      </c>
      <c r="AB41" s="127"/>
      <c r="AC41" s="127"/>
      <c r="AD41" s="127"/>
      <c r="AE41" s="127"/>
      <c r="AF41" s="127"/>
      <c r="AG41" s="127"/>
      <c r="AH41" s="127"/>
      <c r="AI41" s="127"/>
      <c r="AJ41" s="99">
        <f t="shared" si="1"/>
        <v>3700</v>
      </c>
      <c r="AK41" s="127"/>
      <c r="AL41" s="127"/>
      <c r="AM41" s="127"/>
      <c r="AN41" s="127"/>
      <c r="AO41" s="127"/>
      <c r="AP41" s="127"/>
      <c r="AQ41" s="99">
        <f t="shared" si="5"/>
        <v>0</v>
      </c>
      <c r="AR41" s="99">
        <f t="shared" si="6"/>
        <v>3700</v>
      </c>
      <c r="AS41" s="99"/>
      <c r="AT41" s="99" t="s">
        <v>945</v>
      </c>
    </row>
    <row r="42" ht="29" customHeight="1" spans="1:46">
      <c r="A42" s="111">
        <v>40</v>
      </c>
      <c r="B42" s="136" t="s">
        <v>946</v>
      </c>
      <c r="C42" s="127" t="s">
        <v>934</v>
      </c>
      <c r="D42" s="128">
        <v>45778</v>
      </c>
      <c r="E42" s="127" t="s">
        <v>49</v>
      </c>
      <c r="F42" s="121">
        <v>31</v>
      </c>
      <c r="G42" s="129"/>
      <c r="H42" s="129"/>
      <c r="I42" s="129"/>
      <c r="J42" s="129"/>
      <c r="K42" s="129"/>
      <c r="L42" s="129"/>
      <c r="M42" s="129"/>
      <c r="N42" s="129"/>
      <c r="O42" s="141" t="s">
        <v>945</v>
      </c>
      <c r="P42" s="129"/>
      <c r="Q42" s="129"/>
      <c r="R42" s="129"/>
      <c r="S42" s="129"/>
      <c r="T42" s="129">
        <v>1500</v>
      </c>
      <c r="U42" s="129">
        <v>200</v>
      </c>
      <c r="V42" s="129">
        <v>200</v>
      </c>
      <c r="W42" s="129">
        <v>200</v>
      </c>
      <c r="X42" s="129">
        <v>500</v>
      </c>
      <c r="Y42" s="129">
        <v>100</v>
      </c>
      <c r="Z42" s="129">
        <v>1000</v>
      </c>
      <c r="AA42" s="99">
        <f t="shared" si="0"/>
        <v>3700</v>
      </c>
      <c r="AB42" s="127"/>
      <c r="AC42" s="127"/>
      <c r="AD42" s="127"/>
      <c r="AE42" s="127"/>
      <c r="AF42" s="127"/>
      <c r="AG42" s="127"/>
      <c r="AH42" s="127"/>
      <c r="AI42" s="127"/>
      <c r="AJ42" s="99">
        <f t="shared" si="1"/>
        <v>3700</v>
      </c>
      <c r="AK42" s="127"/>
      <c r="AL42" s="127"/>
      <c r="AM42" s="127"/>
      <c r="AN42" s="127"/>
      <c r="AO42" s="127"/>
      <c r="AP42" s="127"/>
      <c r="AQ42" s="99">
        <f t="shared" si="5"/>
        <v>0</v>
      </c>
      <c r="AR42" s="99">
        <f t="shared" si="6"/>
        <v>3700</v>
      </c>
      <c r="AS42" s="99"/>
      <c r="AT42" s="99" t="s">
        <v>945</v>
      </c>
    </row>
    <row r="43" ht="29" customHeight="1" spans="1:46">
      <c r="A43" s="111">
        <v>41</v>
      </c>
      <c r="B43" s="130" t="s">
        <v>947</v>
      </c>
      <c r="C43" s="127" t="s">
        <v>934</v>
      </c>
      <c r="D43" s="128">
        <v>45796</v>
      </c>
      <c r="E43" s="132" t="s">
        <v>65</v>
      </c>
      <c r="F43" s="121">
        <v>13</v>
      </c>
      <c r="G43" s="129"/>
      <c r="H43" s="129"/>
      <c r="I43" s="129"/>
      <c r="J43" s="129"/>
      <c r="K43" s="129"/>
      <c r="L43" s="129"/>
      <c r="M43" s="129"/>
      <c r="N43" s="129"/>
      <c r="O43" s="141" t="s">
        <v>948</v>
      </c>
      <c r="P43" s="129"/>
      <c r="Q43" s="129"/>
      <c r="R43" s="129"/>
      <c r="S43" s="129"/>
      <c r="T43" s="129">
        <f>3700/31*13</f>
        <v>1551.61290322581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  <c r="AA43" s="99">
        <f t="shared" si="0"/>
        <v>1551.61290322581</v>
      </c>
      <c r="AB43" s="127"/>
      <c r="AC43" s="127"/>
      <c r="AD43" s="127"/>
      <c r="AE43" s="127"/>
      <c r="AF43" s="127"/>
      <c r="AG43" s="127"/>
      <c r="AH43" s="127"/>
      <c r="AI43" s="127"/>
      <c r="AJ43" s="99">
        <f t="shared" si="1"/>
        <v>1551.61290322581</v>
      </c>
      <c r="AK43" s="127"/>
      <c r="AL43" s="127"/>
      <c r="AM43" s="127"/>
      <c r="AN43" s="127"/>
      <c r="AO43" s="127"/>
      <c r="AP43" s="127"/>
      <c r="AQ43" s="99">
        <f t="shared" si="5"/>
        <v>0</v>
      </c>
      <c r="AR43" s="99">
        <f t="shared" si="6"/>
        <v>1551.61290322581</v>
      </c>
      <c r="AS43" s="99"/>
      <c r="AT43" s="99" t="s">
        <v>948</v>
      </c>
    </row>
    <row r="44" ht="29" customHeight="1" spans="1:46">
      <c r="A44" s="111">
        <v>42</v>
      </c>
      <c r="B44" s="134" t="s">
        <v>949</v>
      </c>
      <c r="C44" s="127" t="s">
        <v>934</v>
      </c>
      <c r="D44" s="128">
        <v>45748</v>
      </c>
      <c r="E44" s="135" t="s">
        <v>107</v>
      </c>
      <c r="F44" s="121">
        <v>13</v>
      </c>
      <c r="G44" s="129"/>
      <c r="H44" s="129"/>
      <c r="I44" s="129"/>
      <c r="J44" s="129"/>
      <c r="K44" s="129"/>
      <c r="L44" s="129"/>
      <c r="M44" s="129"/>
      <c r="N44" s="129"/>
      <c r="O44" s="140" t="s">
        <v>950</v>
      </c>
      <c r="P44" s="129"/>
      <c r="Q44" s="129"/>
      <c r="R44" s="129"/>
      <c r="S44" s="129"/>
      <c r="T44" s="129">
        <f>3900/31*13</f>
        <v>1635.48387096774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99">
        <f t="shared" si="0"/>
        <v>1635.48387096774</v>
      </c>
      <c r="AB44" s="127"/>
      <c r="AC44" s="127"/>
      <c r="AD44" s="127"/>
      <c r="AE44" s="127"/>
      <c r="AF44" s="127"/>
      <c r="AG44" s="127"/>
      <c r="AH44" s="127"/>
      <c r="AI44" s="127"/>
      <c r="AJ44" s="99">
        <f t="shared" si="1"/>
        <v>1635.48387096774</v>
      </c>
      <c r="AK44" s="127"/>
      <c r="AL44" s="127"/>
      <c r="AM44" s="127"/>
      <c r="AN44" s="127"/>
      <c r="AO44" s="127"/>
      <c r="AP44" s="127"/>
      <c r="AQ44" s="99">
        <f t="shared" si="5"/>
        <v>0</v>
      </c>
      <c r="AR44" s="99">
        <f t="shared" si="6"/>
        <v>1635.48387096774</v>
      </c>
      <c r="AS44" s="99"/>
      <c r="AT44" s="99" t="s">
        <v>950</v>
      </c>
    </row>
    <row r="45" ht="29" customHeight="1" spans="1:46">
      <c r="A45" s="111">
        <v>43</v>
      </c>
      <c r="B45" s="137" t="s">
        <v>951</v>
      </c>
      <c r="C45" s="127" t="s">
        <v>934</v>
      </c>
      <c r="D45" s="128">
        <v>45800</v>
      </c>
      <c r="E45" s="132" t="s">
        <v>65</v>
      </c>
      <c r="F45" s="121">
        <v>9</v>
      </c>
      <c r="G45" s="129"/>
      <c r="H45" s="129"/>
      <c r="I45" s="129"/>
      <c r="J45" s="129"/>
      <c r="K45" s="129"/>
      <c r="L45" s="129"/>
      <c r="M45" s="129"/>
      <c r="N45" s="129"/>
      <c r="O45" s="141" t="s">
        <v>952</v>
      </c>
      <c r="P45" s="129"/>
      <c r="Q45" s="129"/>
      <c r="R45" s="129"/>
      <c r="S45" s="129"/>
      <c r="T45" s="129">
        <f>3700/31*9</f>
        <v>1074.1935483871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99">
        <f t="shared" si="0"/>
        <v>1074.1935483871</v>
      </c>
      <c r="AB45" s="127"/>
      <c r="AC45" s="127"/>
      <c r="AD45" s="127"/>
      <c r="AE45" s="127"/>
      <c r="AF45" s="127"/>
      <c r="AG45" s="127"/>
      <c r="AH45" s="127"/>
      <c r="AI45" s="127"/>
      <c r="AJ45" s="99">
        <f t="shared" si="1"/>
        <v>1074.1935483871</v>
      </c>
      <c r="AK45" s="127"/>
      <c r="AL45" s="127"/>
      <c r="AM45" s="127"/>
      <c r="AN45" s="127"/>
      <c r="AO45" s="127"/>
      <c r="AP45" s="127"/>
      <c r="AQ45" s="99">
        <f t="shared" si="5"/>
        <v>0</v>
      </c>
      <c r="AR45" s="99">
        <f t="shared" si="6"/>
        <v>1074.1935483871</v>
      </c>
      <c r="AS45" s="99"/>
      <c r="AT45" s="99" t="s">
        <v>952</v>
      </c>
    </row>
    <row r="46" ht="29" customHeight="1" spans="1:46">
      <c r="A46" s="111">
        <v>44</v>
      </c>
      <c r="B46" s="130" t="s">
        <v>953</v>
      </c>
      <c r="C46" s="127" t="s">
        <v>934</v>
      </c>
      <c r="D46" s="128">
        <v>45784</v>
      </c>
      <c r="E46" s="132" t="s">
        <v>65</v>
      </c>
      <c r="F46" s="121">
        <v>25</v>
      </c>
      <c r="G46" s="129"/>
      <c r="H46" s="129"/>
      <c r="I46" s="129"/>
      <c r="J46" s="129"/>
      <c r="K46" s="129"/>
      <c r="L46" s="129"/>
      <c r="M46" s="129"/>
      <c r="N46" s="129"/>
      <c r="O46" s="141" t="s">
        <v>954</v>
      </c>
      <c r="P46" s="129"/>
      <c r="Q46" s="129"/>
      <c r="R46" s="129"/>
      <c r="S46" s="129"/>
      <c r="T46" s="129">
        <f>3600/31*25</f>
        <v>2903.22580645161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  <c r="Z46" s="129">
        <v>0</v>
      </c>
      <c r="AA46" s="99">
        <f t="shared" si="0"/>
        <v>2903.22580645161</v>
      </c>
      <c r="AB46" s="127"/>
      <c r="AC46" s="127"/>
      <c r="AD46" s="127"/>
      <c r="AE46" s="127"/>
      <c r="AF46" s="127"/>
      <c r="AG46" s="127"/>
      <c r="AH46" s="127"/>
      <c r="AI46" s="127"/>
      <c r="AJ46" s="99">
        <f t="shared" si="1"/>
        <v>2903.22580645161</v>
      </c>
      <c r="AK46" s="127"/>
      <c r="AL46" s="127"/>
      <c r="AM46" s="127"/>
      <c r="AN46" s="127"/>
      <c r="AO46" s="127"/>
      <c r="AP46" s="127"/>
      <c r="AQ46" s="99">
        <f t="shared" si="5"/>
        <v>0</v>
      </c>
      <c r="AR46" s="99">
        <f t="shared" si="6"/>
        <v>2903.22580645161</v>
      </c>
      <c r="AS46" s="99"/>
      <c r="AT46" s="99" t="s">
        <v>954</v>
      </c>
    </row>
    <row r="47" ht="29" customHeight="1" spans="1:46">
      <c r="A47" s="111">
        <v>45</v>
      </c>
      <c r="B47" s="134" t="s">
        <v>955</v>
      </c>
      <c r="C47" s="127" t="s">
        <v>934</v>
      </c>
      <c r="D47" s="128">
        <v>45786</v>
      </c>
      <c r="E47" s="135" t="s">
        <v>107</v>
      </c>
      <c r="F47" s="121">
        <v>19</v>
      </c>
      <c r="G47" s="129"/>
      <c r="H47" s="129"/>
      <c r="I47" s="129"/>
      <c r="J47" s="129"/>
      <c r="K47" s="129"/>
      <c r="L47" s="129"/>
      <c r="M47" s="129"/>
      <c r="N47" s="129"/>
      <c r="O47" s="140" t="s">
        <v>956</v>
      </c>
      <c r="P47" s="129"/>
      <c r="Q47" s="129"/>
      <c r="R47" s="129"/>
      <c r="S47" s="129"/>
      <c r="T47" s="129">
        <f>3600/31*19</f>
        <v>2206.45161290323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99">
        <f t="shared" si="0"/>
        <v>2206.45161290323</v>
      </c>
      <c r="AB47" s="127"/>
      <c r="AC47" s="127"/>
      <c r="AD47" s="127"/>
      <c r="AE47" s="127"/>
      <c r="AF47" s="127"/>
      <c r="AG47" s="127"/>
      <c r="AH47" s="127"/>
      <c r="AI47" s="127"/>
      <c r="AJ47" s="99">
        <f t="shared" si="1"/>
        <v>2206.45161290323</v>
      </c>
      <c r="AK47" s="127"/>
      <c r="AL47" s="127"/>
      <c r="AM47" s="127"/>
      <c r="AN47" s="127"/>
      <c r="AO47" s="127"/>
      <c r="AP47" s="127"/>
      <c r="AQ47" s="99">
        <f t="shared" si="5"/>
        <v>0</v>
      </c>
      <c r="AR47" s="99">
        <f t="shared" si="6"/>
        <v>2206.45161290323</v>
      </c>
      <c r="AS47" s="99"/>
      <c r="AT47" s="99" t="s">
        <v>956</v>
      </c>
    </row>
    <row r="48" ht="29" customHeight="1" spans="1:46">
      <c r="A48" s="111">
        <v>46</v>
      </c>
      <c r="B48" s="134" t="s">
        <v>957</v>
      </c>
      <c r="C48" s="127" t="s">
        <v>934</v>
      </c>
      <c r="D48" s="128">
        <v>45797</v>
      </c>
      <c r="E48" s="135" t="s">
        <v>107</v>
      </c>
      <c r="F48" s="121">
        <v>11</v>
      </c>
      <c r="G48" s="129"/>
      <c r="H48" s="129"/>
      <c r="I48" s="129"/>
      <c r="J48" s="129"/>
      <c r="K48" s="129"/>
      <c r="L48" s="129"/>
      <c r="M48" s="129"/>
      <c r="N48" s="129"/>
      <c r="O48" s="140" t="s">
        <v>958</v>
      </c>
      <c r="P48" s="129"/>
      <c r="Q48" s="129"/>
      <c r="R48" s="129"/>
      <c r="S48" s="129"/>
      <c r="T48" s="129">
        <f>3600/31*11</f>
        <v>1277.41935483871</v>
      </c>
      <c r="U48" s="129">
        <v>0</v>
      </c>
      <c r="V48" s="129">
        <v>0</v>
      </c>
      <c r="W48" s="129">
        <v>0</v>
      </c>
      <c r="X48" s="129">
        <v>0</v>
      </c>
      <c r="Y48" s="129">
        <v>0</v>
      </c>
      <c r="Z48" s="129">
        <v>0</v>
      </c>
      <c r="AA48" s="99">
        <f t="shared" si="0"/>
        <v>1277.41935483871</v>
      </c>
      <c r="AB48" s="127"/>
      <c r="AC48" s="127"/>
      <c r="AD48" s="127"/>
      <c r="AE48" s="127"/>
      <c r="AF48" s="127"/>
      <c r="AG48" s="127"/>
      <c r="AH48" s="127"/>
      <c r="AI48" s="127"/>
      <c r="AJ48" s="99">
        <f t="shared" si="1"/>
        <v>1277.41935483871</v>
      </c>
      <c r="AK48" s="127"/>
      <c r="AL48" s="127"/>
      <c r="AM48" s="127"/>
      <c r="AN48" s="127"/>
      <c r="AO48" s="127"/>
      <c r="AP48" s="127"/>
      <c r="AQ48" s="99">
        <f t="shared" si="5"/>
        <v>0</v>
      </c>
      <c r="AR48" s="99">
        <f t="shared" si="6"/>
        <v>1277.41935483871</v>
      </c>
      <c r="AS48" s="99"/>
      <c r="AT48" s="99" t="s">
        <v>958</v>
      </c>
    </row>
    <row r="49" ht="29" customHeight="1" spans="1:46">
      <c r="A49" s="111"/>
      <c r="B49" s="136"/>
      <c r="C49" s="129"/>
      <c r="D49" s="127"/>
      <c r="E49" s="127"/>
      <c r="F49" s="121"/>
      <c r="G49" s="129"/>
      <c r="H49" s="129"/>
      <c r="I49" s="129"/>
      <c r="J49" s="129"/>
      <c r="K49" s="129"/>
      <c r="L49" s="129"/>
      <c r="M49" s="129"/>
      <c r="N49" s="129"/>
      <c r="O49" s="143"/>
      <c r="P49" s="129"/>
      <c r="Q49" s="129"/>
      <c r="R49" s="129"/>
      <c r="S49" s="129"/>
      <c r="T49" s="129">
        <f>SUM(T3:T48)</f>
        <v>76580.6451612903</v>
      </c>
      <c r="U49" s="129">
        <f t="shared" ref="U49:AR49" si="9">SUM(U3:U48)</f>
        <v>5400</v>
      </c>
      <c r="V49" s="129">
        <f t="shared" si="9"/>
        <v>6700</v>
      </c>
      <c r="W49" s="129">
        <f t="shared" si="9"/>
        <v>6200</v>
      </c>
      <c r="X49" s="129">
        <f t="shared" si="9"/>
        <v>15300</v>
      </c>
      <c r="Y49" s="129">
        <f t="shared" si="9"/>
        <v>3400</v>
      </c>
      <c r="Z49" s="129">
        <f t="shared" si="9"/>
        <v>31000</v>
      </c>
      <c r="AA49" s="129">
        <f t="shared" si="9"/>
        <v>144580.64516129</v>
      </c>
      <c r="AB49" s="129">
        <f t="shared" si="9"/>
        <v>0</v>
      </c>
      <c r="AC49" s="129">
        <f t="shared" si="9"/>
        <v>0</v>
      </c>
      <c r="AD49" s="129">
        <f t="shared" si="9"/>
        <v>1576.66666666667</v>
      </c>
      <c r="AE49" s="129">
        <f t="shared" si="9"/>
        <v>0</v>
      </c>
      <c r="AF49" s="129">
        <f t="shared" si="9"/>
        <v>0</v>
      </c>
      <c r="AG49" s="129">
        <f t="shared" si="9"/>
        <v>0</v>
      </c>
      <c r="AH49" s="129">
        <f t="shared" si="9"/>
        <v>0</v>
      </c>
      <c r="AI49" s="129">
        <f t="shared" si="9"/>
        <v>0</v>
      </c>
      <c r="AJ49" s="129">
        <f t="shared" si="9"/>
        <v>146157.311827957</v>
      </c>
      <c r="AK49" s="129">
        <f t="shared" si="9"/>
        <v>0</v>
      </c>
      <c r="AL49" s="129">
        <f t="shared" si="9"/>
        <v>0</v>
      </c>
      <c r="AM49" s="129">
        <f t="shared" si="9"/>
        <v>0</v>
      </c>
      <c r="AN49" s="129">
        <f t="shared" si="9"/>
        <v>0</v>
      </c>
      <c r="AO49" s="129">
        <f t="shared" si="9"/>
        <v>0</v>
      </c>
      <c r="AP49" s="129">
        <f t="shared" si="9"/>
        <v>634.9</v>
      </c>
      <c r="AQ49" s="129">
        <f t="shared" si="9"/>
        <v>634.9</v>
      </c>
      <c r="AR49" s="129">
        <f t="shared" si="9"/>
        <v>141622.411827957</v>
      </c>
      <c r="AS49" s="129"/>
      <c r="AT49" s="129" t="s">
        <v>84</v>
      </c>
    </row>
  </sheetData>
  <mergeCells count="19">
    <mergeCell ref="T1:AT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8"/>
  <sheetViews>
    <sheetView tabSelected="1" zoomScale="80" zoomScaleNormal="80" workbookViewId="0">
      <pane xSplit="6" ySplit="3" topLeftCell="G7" activePane="bottomRight" state="frozen"/>
      <selection/>
      <selection pane="topRight"/>
      <selection pane="bottomLeft"/>
      <selection pane="bottomRight" activeCell="BF21" sqref="BF21"/>
    </sheetView>
  </sheetViews>
  <sheetFormatPr defaultColWidth="8.45833333333333" defaultRowHeight="20" customHeight="1"/>
  <cols>
    <col min="1" max="1" width="3.69166666666667" style="6" customWidth="1"/>
    <col min="2" max="2" width="18.6" style="7" customWidth="1"/>
    <col min="3" max="3" width="8.45833333333333" style="1" hidden="1" customWidth="1"/>
    <col min="4" max="4" width="15.55" style="2" hidden="1" customWidth="1"/>
    <col min="5" max="5" width="8.45833333333333" style="1" hidden="1" customWidth="1"/>
    <col min="6" max="6" width="9.525" style="1" hidden="1" customWidth="1"/>
    <col min="7" max="15" width="8.45833333333333" style="1" hidden="1" customWidth="1"/>
    <col min="16" max="16" width="10.55" style="1" hidden="1" customWidth="1"/>
    <col min="17" max="17" width="23.8166666666667" style="1" hidden="1" customWidth="1"/>
    <col min="18" max="20" width="8.45833333333333" style="1" hidden="1" customWidth="1"/>
    <col min="21" max="21" width="20.7916666666667" style="1" hidden="1" customWidth="1"/>
    <col min="22" max="22" width="8.45833333333333" style="1" hidden="1" customWidth="1"/>
    <col min="23" max="23" width="10.6916666666667" style="1" customWidth="1"/>
    <col min="24" max="24" width="14.0916666666667" style="1" hidden="1" customWidth="1"/>
    <col min="25" max="25" width="11.525" style="1" hidden="1" customWidth="1"/>
    <col min="26" max="30" width="10.6916666666667" style="1" hidden="1" customWidth="1"/>
    <col min="31" max="31" width="15.0083333333333" style="1" hidden="1" customWidth="1"/>
    <col min="32" max="32" width="9.73333333333333" style="1" hidden="1" customWidth="1"/>
    <col min="33" max="33" width="15.025" style="1" hidden="1" customWidth="1"/>
    <col min="34" max="39" width="8.45833333333333" style="1" hidden="1" customWidth="1"/>
    <col min="40" max="40" width="8.45833333333333" style="8" hidden="1" customWidth="1"/>
    <col min="41" max="41" width="15.0083333333333" style="1" customWidth="1"/>
    <col min="42" max="42" width="8.45833333333333" style="1" customWidth="1"/>
    <col min="43" max="43" width="10.35" style="1" customWidth="1"/>
    <col min="44" max="44" width="8.45833333333333" style="1" customWidth="1"/>
    <col min="45" max="45" width="11.1166666666667" style="1" customWidth="1"/>
    <col min="46" max="47" width="12.9333333333333" style="1" customWidth="1"/>
    <col min="48" max="48" width="12.75" style="1" customWidth="1"/>
    <col min="49" max="49" width="17.3583333333333" style="1" customWidth="1"/>
    <col min="50" max="50" width="18.3333333333333" style="1" customWidth="1"/>
    <col min="51" max="51" width="10" style="1" customWidth="1"/>
    <col min="52" max="16382" width="8.45833333333333" style="1" customWidth="1"/>
    <col min="16383" max="16384" width="8.45833333333333" style="1"/>
  </cols>
  <sheetData>
    <row r="1" s="1" customFormat="1" customHeight="1" spans="1:50">
      <c r="A1" s="9" t="s">
        <v>959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="1" customFormat="1" customHeight="1" spans="1:50">
      <c r="A2" s="11" t="s">
        <v>0</v>
      </c>
      <c r="B2" s="12" t="s">
        <v>1</v>
      </c>
      <c r="C2" s="13" t="s">
        <v>2</v>
      </c>
      <c r="D2" s="14" t="s">
        <v>3</v>
      </c>
      <c r="E2" s="13" t="s">
        <v>4</v>
      </c>
      <c r="F2" s="13" t="s">
        <v>87</v>
      </c>
      <c r="G2" s="13" t="s">
        <v>38</v>
      </c>
      <c r="H2" s="13" t="s">
        <v>88</v>
      </c>
      <c r="I2" s="13" t="s">
        <v>7</v>
      </c>
      <c r="J2" s="13"/>
      <c r="K2" s="13" t="s">
        <v>9</v>
      </c>
      <c r="L2" s="13" t="s">
        <v>89</v>
      </c>
      <c r="M2" s="13" t="s">
        <v>90</v>
      </c>
      <c r="N2" s="13" t="s">
        <v>91</v>
      </c>
      <c r="O2" s="12" t="s">
        <v>12</v>
      </c>
      <c r="P2" s="13" t="s">
        <v>92</v>
      </c>
      <c r="Q2" s="13" t="s">
        <v>14</v>
      </c>
      <c r="R2" s="13" t="s">
        <v>15</v>
      </c>
      <c r="S2" s="13" t="s">
        <v>93</v>
      </c>
      <c r="T2" s="13" t="s">
        <v>94</v>
      </c>
      <c r="U2" s="13" t="s">
        <v>18</v>
      </c>
      <c r="V2" s="43" t="s">
        <v>95</v>
      </c>
      <c r="W2" s="43" t="s">
        <v>28</v>
      </c>
      <c r="X2" s="44" t="s">
        <v>21</v>
      </c>
      <c r="Y2" s="44" t="s">
        <v>22</v>
      </c>
      <c r="Z2" s="44" t="s">
        <v>23</v>
      </c>
      <c r="AA2" s="44" t="s">
        <v>24</v>
      </c>
      <c r="AB2" s="44" t="s">
        <v>25</v>
      </c>
      <c r="AC2" s="44" t="s">
        <v>26</v>
      </c>
      <c r="AD2" s="44" t="s">
        <v>96</v>
      </c>
      <c r="AE2" s="68" t="s">
        <v>28</v>
      </c>
      <c r="AF2" s="69" t="s">
        <v>41</v>
      </c>
      <c r="AG2" s="44" t="s">
        <v>97</v>
      </c>
      <c r="AH2" s="69" t="s">
        <v>98</v>
      </c>
      <c r="AI2" s="76" t="s">
        <v>31</v>
      </c>
      <c r="AJ2" s="77" t="s">
        <v>32</v>
      </c>
      <c r="AK2" s="78" t="s">
        <v>33</v>
      </c>
      <c r="AL2" s="78" t="s">
        <v>34</v>
      </c>
      <c r="AM2" s="78" t="s">
        <v>35</v>
      </c>
      <c r="AN2" s="79" t="s">
        <v>95</v>
      </c>
      <c r="AO2" s="76" t="s">
        <v>36</v>
      </c>
      <c r="AP2" s="76" t="s">
        <v>37</v>
      </c>
      <c r="AQ2" s="76" t="s">
        <v>39</v>
      </c>
      <c r="AR2" s="89" t="s">
        <v>38</v>
      </c>
      <c r="AS2" s="44" t="s">
        <v>42</v>
      </c>
      <c r="AT2" s="44" t="s">
        <v>960</v>
      </c>
      <c r="AU2" s="44"/>
      <c r="AV2" s="76" t="s">
        <v>43</v>
      </c>
      <c r="AW2" s="76" t="s">
        <v>44</v>
      </c>
      <c r="AX2" s="44" t="s">
        <v>45</v>
      </c>
    </row>
    <row r="3" s="1" customFormat="1" ht="31" customHeight="1" spans="1:50">
      <c r="A3" s="11"/>
      <c r="B3" s="15"/>
      <c r="C3" s="13"/>
      <c r="D3" s="14"/>
      <c r="E3" s="13"/>
      <c r="F3" s="13"/>
      <c r="G3" s="13"/>
      <c r="H3" s="13"/>
      <c r="I3" s="13" t="s">
        <v>101</v>
      </c>
      <c r="J3" s="13" t="s">
        <v>102</v>
      </c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45"/>
      <c r="W3" s="45"/>
      <c r="X3" s="44"/>
      <c r="Y3" s="44"/>
      <c r="Z3" s="44"/>
      <c r="AA3" s="44"/>
      <c r="AB3" s="44"/>
      <c r="AC3" s="44"/>
      <c r="AD3" s="44"/>
      <c r="AE3" s="68"/>
      <c r="AF3" s="70"/>
      <c r="AG3" s="44"/>
      <c r="AH3" s="70"/>
      <c r="AI3" s="76"/>
      <c r="AJ3" s="80"/>
      <c r="AK3" s="81"/>
      <c r="AL3" s="81"/>
      <c r="AM3" s="81"/>
      <c r="AN3" s="82"/>
      <c r="AO3" s="76"/>
      <c r="AP3" s="76"/>
      <c r="AQ3" s="76"/>
      <c r="AR3" s="90"/>
      <c r="AS3" s="44"/>
      <c r="AT3" s="44"/>
      <c r="AU3" s="44" t="s">
        <v>99</v>
      </c>
      <c r="AV3" s="76"/>
      <c r="AW3" s="76"/>
      <c r="AX3" s="44"/>
    </row>
    <row r="4" s="2" customFormat="1" ht="53" customHeight="1" spans="1:51">
      <c r="A4" s="16">
        <f>ROW()-3</f>
        <v>1</v>
      </c>
      <c r="B4" s="17" t="s">
        <v>961</v>
      </c>
      <c r="C4" s="18" t="s">
        <v>106</v>
      </c>
      <c r="D4" s="19">
        <v>45593</v>
      </c>
      <c r="E4" s="20" t="s">
        <v>49</v>
      </c>
      <c r="F4" s="21">
        <v>31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8">
        <v>6</v>
      </c>
      <c r="O4" s="22">
        <v>0</v>
      </c>
      <c r="P4" s="22"/>
      <c r="Q4" s="46" t="s">
        <v>962</v>
      </c>
      <c r="R4" s="22">
        <v>0</v>
      </c>
      <c r="S4" s="22">
        <v>0</v>
      </c>
      <c r="T4" s="22">
        <v>0</v>
      </c>
      <c r="U4" s="47" t="s">
        <v>963</v>
      </c>
      <c r="V4" s="48"/>
      <c r="W4" s="49">
        <v>2800</v>
      </c>
      <c r="X4" s="50">
        <v>1200</v>
      </c>
      <c r="Y4" s="71">
        <v>400</v>
      </c>
      <c r="Z4" s="71">
        <v>300</v>
      </c>
      <c r="AA4" s="71">
        <v>200</v>
      </c>
      <c r="AB4" s="71">
        <v>300</v>
      </c>
      <c r="AC4" s="71">
        <v>200</v>
      </c>
      <c r="AD4" s="71">
        <v>200</v>
      </c>
      <c r="AE4" s="72">
        <f t="shared" ref="AE4:AE24" si="0">SUM(X4:AD4)</f>
        <v>2800</v>
      </c>
      <c r="AF4" s="71"/>
      <c r="AG4" s="71">
        <v>1550</v>
      </c>
      <c r="AH4" s="71">
        <v>10</v>
      </c>
      <c r="AI4" s="73">
        <f>S4</f>
        <v>0</v>
      </c>
      <c r="AJ4" s="73">
        <f t="shared" ref="AJ4:AJ21" si="1">T4</f>
        <v>0</v>
      </c>
      <c r="AK4" s="71">
        <v>0</v>
      </c>
      <c r="AL4" s="73">
        <f>V4</f>
        <v>0</v>
      </c>
      <c r="AM4" s="73">
        <v>0</v>
      </c>
      <c r="AN4" s="83">
        <f t="shared" ref="AN4:AN21" si="2">V4</f>
        <v>0</v>
      </c>
      <c r="AO4" s="71">
        <f t="shared" ref="AO4:AO24" si="3">SUM(AE4:AN4)</f>
        <v>4360</v>
      </c>
      <c r="AP4" s="71">
        <f t="shared" ref="AP4:AP9" si="4">I4</f>
        <v>0</v>
      </c>
      <c r="AQ4" s="91">
        <f t="shared" ref="AQ4:AQ15" si="5">AE4/F4*AP4</f>
        <v>0</v>
      </c>
      <c r="AR4" s="71">
        <f t="shared" ref="AR4:AR22" si="6">(G4*2)</f>
        <v>0</v>
      </c>
      <c r="AS4" s="73">
        <v>0</v>
      </c>
      <c r="AT4" s="92"/>
      <c r="AU4" s="92"/>
      <c r="AV4" s="71">
        <f t="shared" ref="AV4:AV12" si="7">SUM(AQ4:AU4)</f>
        <v>0</v>
      </c>
      <c r="AW4" s="71">
        <f>(AO4-AV4)</f>
        <v>4360</v>
      </c>
      <c r="AX4" s="93" t="s">
        <v>964</v>
      </c>
      <c r="AY4" s="3"/>
    </row>
    <row r="5" s="2" customFormat="1" ht="28" customHeight="1" spans="1:50">
      <c r="A5" s="16">
        <f t="shared" ref="A5:A14" si="8">ROW()-3</f>
        <v>2</v>
      </c>
      <c r="B5" s="23" t="s">
        <v>965</v>
      </c>
      <c r="C5" s="24" t="s">
        <v>110</v>
      </c>
      <c r="D5" s="25">
        <v>45778</v>
      </c>
      <c r="E5" s="26" t="s">
        <v>65</v>
      </c>
      <c r="F5" s="27">
        <v>31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51"/>
      <c r="R5" s="28">
        <v>0</v>
      </c>
      <c r="S5" s="28">
        <v>0</v>
      </c>
      <c r="T5" s="28">
        <v>0</v>
      </c>
      <c r="U5" s="52"/>
      <c r="V5" s="48"/>
      <c r="W5" s="53">
        <v>4625</v>
      </c>
      <c r="X5" s="50">
        <v>2700</v>
      </c>
      <c r="Y5" s="71">
        <v>650</v>
      </c>
      <c r="Z5" s="71">
        <v>400</v>
      </c>
      <c r="AA5" s="71">
        <v>250</v>
      </c>
      <c r="AB5" s="71">
        <v>200</v>
      </c>
      <c r="AC5" s="71">
        <v>275</v>
      </c>
      <c r="AD5" s="71">
        <v>150</v>
      </c>
      <c r="AE5" s="72">
        <f t="shared" si="0"/>
        <v>4625</v>
      </c>
      <c r="AF5" s="71"/>
      <c r="AG5" s="71"/>
      <c r="AH5" s="71">
        <v>0</v>
      </c>
      <c r="AI5" s="84">
        <f t="shared" ref="AI5:AI21" si="9">L5</f>
        <v>0</v>
      </c>
      <c r="AJ5" s="71">
        <f t="shared" si="1"/>
        <v>0</v>
      </c>
      <c r="AK5" s="71">
        <v>0</v>
      </c>
      <c r="AL5" s="71">
        <v>0</v>
      </c>
      <c r="AM5" s="71">
        <v>0</v>
      </c>
      <c r="AN5" s="83">
        <f t="shared" si="2"/>
        <v>0</v>
      </c>
      <c r="AO5" s="71">
        <f t="shared" si="3"/>
        <v>4625</v>
      </c>
      <c r="AP5" s="71">
        <f t="shared" si="4"/>
        <v>0</v>
      </c>
      <c r="AQ5" s="91">
        <f t="shared" si="5"/>
        <v>0</v>
      </c>
      <c r="AR5" s="71">
        <f t="shared" si="6"/>
        <v>0</v>
      </c>
      <c r="AS5" s="71">
        <v>549.9</v>
      </c>
      <c r="AT5" s="71">
        <v>231</v>
      </c>
      <c r="AU5" s="71"/>
      <c r="AV5" s="71">
        <f t="shared" si="7"/>
        <v>780.9</v>
      </c>
      <c r="AW5" s="71">
        <f t="shared" ref="AW5:AW24" si="10">(AO5-AV5)</f>
        <v>3844.1</v>
      </c>
      <c r="AX5" s="71"/>
    </row>
    <row r="6" s="2" customFormat="1" ht="28" customHeight="1" spans="1:50">
      <c r="A6" s="16">
        <f t="shared" si="8"/>
        <v>3</v>
      </c>
      <c r="B6" s="23" t="s">
        <v>966</v>
      </c>
      <c r="C6" s="24" t="s">
        <v>110</v>
      </c>
      <c r="D6" s="25">
        <v>45778</v>
      </c>
      <c r="E6" s="26" t="s">
        <v>65</v>
      </c>
      <c r="F6" s="27">
        <v>31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51"/>
      <c r="R6" s="28">
        <v>0</v>
      </c>
      <c r="S6" s="28">
        <v>0</v>
      </c>
      <c r="T6" s="28">
        <v>0</v>
      </c>
      <c r="U6" s="52"/>
      <c r="V6" s="48"/>
      <c r="W6" s="53">
        <v>4475</v>
      </c>
      <c r="X6" s="50">
        <v>2700</v>
      </c>
      <c r="Y6" s="71">
        <v>650</v>
      </c>
      <c r="Z6" s="71">
        <v>400</v>
      </c>
      <c r="AA6" s="71">
        <v>200</v>
      </c>
      <c r="AB6" s="71">
        <v>200</v>
      </c>
      <c r="AC6" s="71">
        <v>225</v>
      </c>
      <c r="AD6" s="71">
        <v>100</v>
      </c>
      <c r="AE6" s="72">
        <f t="shared" si="0"/>
        <v>4475</v>
      </c>
      <c r="AF6" s="71"/>
      <c r="AG6" s="71"/>
      <c r="AH6" s="71">
        <v>0</v>
      </c>
      <c r="AI6" s="84">
        <f t="shared" si="9"/>
        <v>0</v>
      </c>
      <c r="AJ6" s="71">
        <f t="shared" si="1"/>
        <v>0</v>
      </c>
      <c r="AK6" s="71">
        <v>0</v>
      </c>
      <c r="AL6" s="71">
        <v>0</v>
      </c>
      <c r="AM6" s="71">
        <v>0</v>
      </c>
      <c r="AN6" s="83">
        <f t="shared" si="2"/>
        <v>0</v>
      </c>
      <c r="AO6" s="71">
        <f t="shared" si="3"/>
        <v>4475</v>
      </c>
      <c r="AP6" s="71">
        <f t="shared" si="4"/>
        <v>0</v>
      </c>
      <c r="AQ6" s="91">
        <f t="shared" si="5"/>
        <v>0</v>
      </c>
      <c r="AR6" s="71">
        <f t="shared" si="6"/>
        <v>0</v>
      </c>
      <c r="AS6" s="71">
        <v>549.9</v>
      </c>
      <c r="AT6" s="71">
        <v>224</v>
      </c>
      <c r="AU6" s="71"/>
      <c r="AV6" s="71">
        <f t="shared" si="7"/>
        <v>773.9</v>
      </c>
      <c r="AW6" s="71">
        <f t="shared" si="10"/>
        <v>3701.1</v>
      </c>
      <c r="AX6" s="71"/>
    </row>
    <row r="7" s="2" customFormat="1" ht="28" customHeight="1" spans="1:50">
      <c r="A7" s="16">
        <f t="shared" si="8"/>
        <v>4</v>
      </c>
      <c r="B7" s="23" t="s">
        <v>967</v>
      </c>
      <c r="C7" s="24" t="s">
        <v>110</v>
      </c>
      <c r="D7" s="25">
        <v>45778</v>
      </c>
      <c r="E7" s="26" t="s">
        <v>65</v>
      </c>
      <c r="F7" s="27">
        <v>31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51"/>
      <c r="R7" s="28">
        <v>0</v>
      </c>
      <c r="S7" s="28">
        <v>0</v>
      </c>
      <c r="T7" s="28">
        <v>0</v>
      </c>
      <c r="U7" s="54"/>
      <c r="V7" s="48"/>
      <c r="W7" s="53">
        <v>4300</v>
      </c>
      <c r="X7" s="50">
        <v>2500</v>
      </c>
      <c r="Y7" s="71">
        <v>600</v>
      </c>
      <c r="Z7" s="71">
        <v>400</v>
      </c>
      <c r="AA7" s="71">
        <v>250</v>
      </c>
      <c r="AB7" s="71">
        <v>200</v>
      </c>
      <c r="AC7" s="71">
        <v>200</v>
      </c>
      <c r="AD7" s="71">
        <v>150</v>
      </c>
      <c r="AE7" s="72">
        <f t="shared" si="0"/>
        <v>4300</v>
      </c>
      <c r="AF7" s="71"/>
      <c r="AG7" s="71">
        <v>400</v>
      </c>
      <c r="AH7" s="71">
        <v>0</v>
      </c>
      <c r="AI7" s="84">
        <f t="shared" si="9"/>
        <v>0</v>
      </c>
      <c r="AJ7" s="71">
        <f t="shared" si="1"/>
        <v>0</v>
      </c>
      <c r="AK7" s="71">
        <v>0</v>
      </c>
      <c r="AL7" s="71">
        <v>0</v>
      </c>
      <c r="AM7" s="71">
        <v>0</v>
      </c>
      <c r="AN7" s="83">
        <f t="shared" si="2"/>
        <v>0</v>
      </c>
      <c r="AO7" s="71">
        <f t="shared" si="3"/>
        <v>4700</v>
      </c>
      <c r="AP7" s="71">
        <f t="shared" si="4"/>
        <v>0</v>
      </c>
      <c r="AQ7" s="91">
        <f t="shared" si="5"/>
        <v>0</v>
      </c>
      <c r="AR7" s="71">
        <f t="shared" si="6"/>
        <v>0</v>
      </c>
      <c r="AS7" s="71">
        <v>549.9</v>
      </c>
      <c r="AT7" s="71">
        <v>215</v>
      </c>
      <c r="AU7" s="71"/>
      <c r="AV7" s="71">
        <f t="shared" si="7"/>
        <v>764.9</v>
      </c>
      <c r="AW7" s="71">
        <f t="shared" si="10"/>
        <v>3935.1</v>
      </c>
      <c r="AX7" s="91" t="s">
        <v>968</v>
      </c>
    </row>
    <row r="8" s="2" customFormat="1" ht="28" customHeight="1" spans="1:50">
      <c r="A8" s="16">
        <f t="shared" si="8"/>
        <v>5</v>
      </c>
      <c r="B8" s="23" t="s">
        <v>969</v>
      </c>
      <c r="C8" s="24" t="s">
        <v>110</v>
      </c>
      <c r="D8" s="25">
        <v>45778</v>
      </c>
      <c r="E8" s="26" t="s">
        <v>65</v>
      </c>
      <c r="F8" s="27">
        <v>31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51"/>
      <c r="R8" s="28">
        <v>0</v>
      </c>
      <c r="S8" s="28">
        <v>0</v>
      </c>
      <c r="T8" s="28">
        <v>0</v>
      </c>
      <c r="U8" s="54"/>
      <c r="V8" s="48"/>
      <c r="W8" s="53">
        <v>4300</v>
      </c>
      <c r="X8" s="50">
        <v>2500</v>
      </c>
      <c r="Y8" s="71">
        <v>600</v>
      </c>
      <c r="Z8" s="71">
        <v>400</v>
      </c>
      <c r="AA8" s="71">
        <v>250</v>
      </c>
      <c r="AB8" s="71">
        <v>200</v>
      </c>
      <c r="AC8" s="71">
        <v>200</v>
      </c>
      <c r="AD8" s="71">
        <v>150</v>
      </c>
      <c r="AE8" s="72">
        <f t="shared" si="0"/>
        <v>4300</v>
      </c>
      <c r="AF8" s="71"/>
      <c r="AG8" s="71"/>
      <c r="AH8" s="71">
        <v>0</v>
      </c>
      <c r="AI8" s="84">
        <f t="shared" si="9"/>
        <v>0</v>
      </c>
      <c r="AJ8" s="71">
        <f t="shared" si="1"/>
        <v>0</v>
      </c>
      <c r="AK8" s="71">
        <v>0</v>
      </c>
      <c r="AL8" s="71">
        <v>0</v>
      </c>
      <c r="AM8" s="71">
        <v>0</v>
      </c>
      <c r="AN8" s="83">
        <f t="shared" si="2"/>
        <v>0</v>
      </c>
      <c r="AO8" s="71">
        <f t="shared" si="3"/>
        <v>4300</v>
      </c>
      <c r="AP8" s="71">
        <f t="shared" si="4"/>
        <v>0</v>
      </c>
      <c r="AQ8" s="91">
        <f t="shared" si="5"/>
        <v>0</v>
      </c>
      <c r="AR8" s="71">
        <f t="shared" si="6"/>
        <v>0</v>
      </c>
      <c r="AS8" s="71"/>
      <c r="AT8" s="71">
        <v>215</v>
      </c>
      <c r="AU8" s="71"/>
      <c r="AV8" s="71">
        <f t="shared" si="7"/>
        <v>215</v>
      </c>
      <c r="AW8" s="71">
        <f t="shared" si="10"/>
        <v>4085</v>
      </c>
      <c r="AX8" s="71" t="s">
        <v>970</v>
      </c>
    </row>
    <row r="9" s="3" customFormat="1" ht="28" customHeight="1" spans="1:50">
      <c r="A9" s="16">
        <f t="shared" si="8"/>
        <v>6</v>
      </c>
      <c r="B9" s="23" t="s">
        <v>971</v>
      </c>
      <c r="C9" s="29" t="s">
        <v>196</v>
      </c>
      <c r="D9" s="19">
        <v>45778</v>
      </c>
      <c r="E9" s="26" t="s">
        <v>65</v>
      </c>
      <c r="F9" s="21">
        <v>31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46"/>
      <c r="R9" s="22">
        <v>0</v>
      </c>
      <c r="S9" s="22">
        <v>0</v>
      </c>
      <c r="T9" s="22">
        <v>0</v>
      </c>
      <c r="U9" s="55"/>
      <c r="V9" s="56"/>
      <c r="W9" s="57">
        <v>4050</v>
      </c>
      <c r="X9" s="58">
        <v>2700</v>
      </c>
      <c r="Y9" s="73">
        <v>500</v>
      </c>
      <c r="Z9" s="73">
        <v>200</v>
      </c>
      <c r="AA9" s="73">
        <v>200</v>
      </c>
      <c r="AB9" s="73">
        <v>200</v>
      </c>
      <c r="AC9" s="73">
        <v>150</v>
      </c>
      <c r="AD9" s="73">
        <v>100</v>
      </c>
      <c r="AE9" s="72">
        <f t="shared" si="0"/>
        <v>4050</v>
      </c>
      <c r="AF9" s="73"/>
      <c r="AG9" s="73"/>
      <c r="AH9" s="73">
        <v>0</v>
      </c>
      <c r="AI9" s="85">
        <f t="shared" si="9"/>
        <v>0</v>
      </c>
      <c r="AJ9" s="73">
        <f t="shared" si="1"/>
        <v>0</v>
      </c>
      <c r="AK9" s="73">
        <v>0</v>
      </c>
      <c r="AL9" s="73">
        <v>0</v>
      </c>
      <c r="AM9" s="73">
        <v>0</v>
      </c>
      <c r="AN9" s="86">
        <f t="shared" si="2"/>
        <v>0</v>
      </c>
      <c r="AO9" s="71">
        <f t="shared" si="3"/>
        <v>4050</v>
      </c>
      <c r="AP9" s="73">
        <f t="shared" si="4"/>
        <v>0</v>
      </c>
      <c r="AQ9" s="93">
        <f t="shared" si="5"/>
        <v>0</v>
      </c>
      <c r="AR9" s="73">
        <f t="shared" si="6"/>
        <v>0</v>
      </c>
      <c r="AS9" s="73"/>
      <c r="AT9" s="94"/>
      <c r="AU9" s="94"/>
      <c r="AV9" s="71">
        <f t="shared" si="7"/>
        <v>0</v>
      </c>
      <c r="AW9" s="71">
        <f t="shared" si="10"/>
        <v>4050</v>
      </c>
      <c r="AX9" s="73"/>
    </row>
    <row r="10" s="3" customFormat="1" ht="28" customHeight="1" spans="1:50">
      <c r="A10" s="16">
        <f t="shared" si="8"/>
        <v>7</v>
      </c>
      <c r="B10" s="30" t="s">
        <v>972</v>
      </c>
      <c r="C10" s="29" t="s">
        <v>196</v>
      </c>
      <c r="D10" s="19">
        <v>45778</v>
      </c>
      <c r="E10" s="31" t="s">
        <v>107</v>
      </c>
      <c r="F10" s="21">
        <v>22</v>
      </c>
      <c r="G10" s="22">
        <v>0</v>
      </c>
      <c r="H10" s="22">
        <v>0</v>
      </c>
      <c r="I10" s="22">
        <v>18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59" t="s">
        <v>973</v>
      </c>
      <c r="R10" s="22">
        <v>0</v>
      </c>
      <c r="S10" s="22">
        <v>0</v>
      </c>
      <c r="T10" s="22">
        <v>0</v>
      </c>
      <c r="U10" s="60"/>
      <c r="V10" s="56"/>
      <c r="W10" s="57">
        <v>3500</v>
      </c>
      <c r="X10" s="61">
        <f>3500/31*22</f>
        <v>2483.87096774194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2">
        <f t="shared" si="0"/>
        <v>2483.87096774194</v>
      </c>
      <c r="AF10" s="73"/>
      <c r="AG10" s="73"/>
      <c r="AH10" s="73">
        <v>0</v>
      </c>
      <c r="AI10" s="85">
        <f t="shared" si="9"/>
        <v>0</v>
      </c>
      <c r="AJ10" s="73">
        <f t="shared" si="1"/>
        <v>0</v>
      </c>
      <c r="AK10" s="73">
        <v>0</v>
      </c>
      <c r="AL10" s="73">
        <v>0</v>
      </c>
      <c r="AM10" s="73">
        <v>0</v>
      </c>
      <c r="AN10" s="86">
        <f t="shared" si="2"/>
        <v>0</v>
      </c>
      <c r="AO10" s="71">
        <f t="shared" si="3"/>
        <v>2483.87096774194</v>
      </c>
      <c r="AP10" s="73">
        <v>18</v>
      </c>
      <c r="AQ10" s="93">
        <f t="shared" si="5"/>
        <v>2032.25806451613</v>
      </c>
      <c r="AR10" s="73">
        <f t="shared" si="6"/>
        <v>0</v>
      </c>
      <c r="AS10" s="73"/>
      <c r="AT10" s="73"/>
      <c r="AU10" s="73"/>
      <c r="AV10" s="71">
        <f t="shared" si="7"/>
        <v>2032.25806451613</v>
      </c>
      <c r="AW10" s="71">
        <f t="shared" si="10"/>
        <v>451.612903225807</v>
      </c>
      <c r="AX10" s="73"/>
    </row>
    <row r="11" s="3" customFormat="1" ht="28" customHeight="1" spans="1:50">
      <c r="A11" s="16">
        <f t="shared" si="8"/>
        <v>8</v>
      </c>
      <c r="B11" s="23" t="s">
        <v>974</v>
      </c>
      <c r="C11" s="29" t="s">
        <v>196</v>
      </c>
      <c r="D11" s="19">
        <v>45778</v>
      </c>
      <c r="E11" s="26" t="s">
        <v>65</v>
      </c>
      <c r="F11" s="21">
        <v>31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46"/>
      <c r="R11" s="22">
        <v>0</v>
      </c>
      <c r="S11" s="22">
        <v>0</v>
      </c>
      <c r="T11" s="22">
        <v>0</v>
      </c>
      <c r="U11" s="55"/>
      <c r="V11" s="56"/>
      <c r="W11" s="57">
        <v>4000</v>
      </c>
      <c r="X11" s="58">
        <v>2700</v>
      </c>
      <c r="Y11" s="73">
        <v>500</v>
      </c>
      <c r="Z11" s="73">
        <v>200</v>
      </c>
      <c r="AA11" s="73">
        <v>200</v>
      </c>
      <c r="AB11" s="73">
        <v>200</v>
      </c>
      <c r="AC11" s="73">
        <v>100</v>
      </c>
      <c r="AD11" s="73">
        <v>100</v>
      </c>
      <c r="AE11" s="72">
        <f t="shared" si="0"/>
        <v>4000</v>
      </c>
      <c r="AF11" s="73"/>
      <c r="AG11" s="73"/>
      <c r="AH11" s="73">
        <v>0</v>
      </c>
      <c r="AI11" s="85">
        <f t="shared" si="9"/>
        <v>0</v>
      </c>
      <c r="AJ11" s="73">
        <f t="shared" si="1"/>
        <v>0</v>
      </c>
      <c r="AK11" s="73">
        <v>0</v>
      </c>
      <c r="AL11" s="73">
        <v>0</v>
      </c>
      <c r="AM11" s="73">
        <v>0</v>
      </c>
      <c r="AN11" s="86">
        <f t="shared" si="2"/>
        <v>0</v>
      </c>
      <c r="AO11" s="71">
        <f t="shared" si="3"/>
        <v>4000</v>
      </c>
      <c r="AP11" s="73">
        <f>I11</f>
        <v>0</v>
      </c>
      <c r="AQ11" s="93">
        <f t="shared" si="5"/>
        <v>0</v>
      </c>
      <c r="AR11" s="73">
        <f t="shared" si="6"/>
        <v>0</v>
      </c>
      <c r="AS11" s="73"/>
      <c r="AT11" s="73"/>
      <c r="AU11" s="73"/>
      <c r="AV11" s="71">
        <f t="shared" si="7"/>
        <v>0</v>
      </c>
      <c r="AW11" s="71">
        <f t="shared" si="10"/>
        <v>4000</v>
      </c>
      <c r="AX11" s="73"/>
    </row>
    <row r="12" s="3" customFormat="1" ht="28" customHeight="1" spans="1:50">
      <c r="A12" s="16">
        <f t="shared" si="8"/>
        <v>9</v>
      </c>
      <c r="B12" s="23" t="s">
        <v>975</v>
      </c>
      <c r="C12" s="29" t="s">
        <v>196</v>
      </c>
      <c r="D12" s="19">
        <v>45792</v>
      </c>
      <c r="E12" s="26" t="s">
        <v>65</v>
      </c>
      <c r="F12" s="21">
        <v>17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62" t="s">
        <v>976</v>
      </c>
      <c r="R12" s="22">
        <v>0</v>
      </c>
      <c r="S12" s="22">
        <v>0</v>
      </c>
      <c r="T12" s="22">
        <v>0</v>
      </c>
      <c r="U12" s="55"/>
      <c r="V12" s="56"/>
      <c r="W12" s="57">
        <v>3800</v>
      </c>
      <c r="X12" s="61">
        <f>3800/31*17</f>
        <v>2083.87096774194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2">
        <f t="shared" si="0"/>
        <v>2083.87096774194</v>
      </c>
      <c r="AF12" s="73"/>
      <c r="AG12" s="73"/>
      <c r="AH12" s="73">
        <v>0</v>
      </c>
      <c r="AI12" s="85">
        <f t="shared" si="9"/>
        <v>0</v>
      </c>
      <c r="AJ12" s="73">
        <f t="shared" si="1"/>
        <v>0</v>
      </c>
      <c r="AK12" s="73">
        <v>0</v>
      </c>
      <c r="AL12" s="73">
        <v>0</v>
      </c>
      <c r="AM12" s="73">
        <v>0</v>
      </c>
      <c r="AN12" s="86">
        <f t="shared" si="2"/>
        <v>0</v>
      </c>
      <c r="AO12" s="71">
        <f t="shared" si="3"/>
        <v>2083.87096774194</v>
      </c>
      <c r="AP12" s="73"/>
      <c r="AQ12" s="93">
        <f t="shared" si="5"/>
        <v>0</v>
      </c>
      <c r="AR12" s="73">
        <f t="shared" si="6"/>
        <v>0</v>
      </c>
      <c r="AS12" s="73"/>
      <c r="AT12" s="94"/>
      <c r="AU12" s="94"/>
      <c r="AV12" s="71">
        <f t="shared" si="7"/>
        <v>0</v>
      </c>
      <c r="AW12" s="71">
        <f t="shared" si="10"/>
        <v>2083.87096774194</v>
      </c>
      <c r="AX12" s="73"/>
    </row>
    <row r="13" s="3" customFormat="1" ht="28" customHeight="1" spans="1:50">
      <c r="A13" s="16">
        <f t="shared" si="8"/>
        <v>10</v>
      </c>
      <c r="B13" s="23" t="s">
        <v>977</v>
      </c>
      <c r="C13" s="29" t="s">
        <v>115</v>
      </c>
      <c r="D13" s="19">
        <v>45778</v>
      </c>
      <c r="E13" s="26" t="s">
        <v>65</v>
      </c>
      <c r="F13" s="21">
        <v>31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63"/>
      <c r="R13" s="22"/>
      <c r="S13" s="22">
        <v>0</v>
      </c>
      <c r="T13" s="22">
        <v>0</v>
      </c>
      <c r="U13" s="55"/>
      <c r="V13" s="56"/>
      <c r="W13" s="57">
        <v>2950</v>
      </c>
      <c r="X13" s="58">
        <v>2000</v>
      </c>
      <c r="Y13" s="73">
        <v>250</v>
      </c>
      <c r="Z13" s="73">
        <v>200</v>
      </c>
      <c r="AA13" s="73">
        <v>150</v>
      </c>
      <c r="AB13" s="73">
        <v>100</v>
      </c>
      <c r="AC13" s="73">
        <v>150</v>
      </c>
      <c r="AD13" s="73">
        <v>100</v>
      </c>
      <c r="AE13" s="72">
        <f t="shared" si="0"/>
        <v>2950</v>
      </c>
      <c r="AF13" s="73"/>
      <c r="AG13" s="73"/>
      <c r="AH13" s="73">
        <v>0</v>
      </c>
      <c r="AI13" s="85">
        <f t="shared" si="9"/>
        <v>0</v>
      </c>
      <c r="AJ13" s="73">
        <f t="shared" si="1"/>
        <v>0</v>
      </c>
      <c r="AK13" s="73">
        <v>0</v>
      </c>
      <c r="AL13" s="73">
        <v>0</v>
      </c>
      <c r="AM13" s="73">
        <v>0</v>
      </c>
      <c r="AN13" s="86">
        <f t="shared" si="2"/>
        <v>0</v>
      </c>
      <c r="AO13" s="71">
        <f t="shared" si="3"/>
        <v>2950</v>
      </c>
      <c r="AP13" s="73">
        <v>0</v>
      </c>
      <c r="AQ13" s="93">
        <f t="shared" si="5"/>
        <v>0</v>
      </c>
      <c r="AR13" s="73">
        <f t="shared" si="6"/>
        <v>0</v>
      </c>
      <c r="AS13" s="95">
        <v>549.9</v>
      </c>
      <c r="AT13" s="73">
        <v>0</v>
      </c>
      <c r="AU13" s="73"/>
      <c r="AV13" s="71">
        <f t="shared" ref="AV13:AV24" si="11">SUM(AQ13:AU13)</f>
        <v>549.9</v>
      </c>
      <c r="AW13" s="71">
        <f t="shared" si="10"/>
        <v>2400.1</v>
      </c>
      <c r="AX13" s="73"/>
    </row>
    <row r="14" s="3" customFormat="1" ht="28" customHeight="1" spans="1:50">
      <c r="A14" s="16">
        <f t="shared" si="8"/>
        <v>11</v>
      </c>
      <c r="B14" s="23" t="s">
        <v>978</v>
      </c>
      <c r="C14" s="29" t="s">
        <v>115</v>
      </c>
      <c r="D14" s="19">
        <v>45778</v>
      </c>
      <c r="E14" s="26" t="s">
        <v>65</v>
      </c>
      <c r="F14" s="21">
        <v>31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46"/>
      <c r="R14" s="22"/>
      <c r="S14" s="22">
        <v>0</v>
      </c>
      <c r="T14" s="22">
        <v>0</v>
      </c>
      <c r="U14" s="55"/>
      <c r="V14" s="56"/>
      <c r="W14" s="57">
        <v>3150</v>
      </c>
      <c r="X14" s="58">
        <v>2200</v>
      </c>
      <c r="Y14" s="73">
        <v>250</v>
      </c>
      <c r="Z14" s="73">
        <v>200</v>
      </c>
      <c r="AA14" s="73">
        <v>150</v>
      </c>
      <c r="AB14" s="73">
        <v>100</v>
      </c>
      <c r="AC14" s="73">
        <v>150</v>
      </c>
      <c r="AD14" s="73">
        <v>100</v>
      </c>
      <c r="AE14" s="72">
        <f t="shared" si="0"/>
        <v>3150</v>
      </c>
      <c r="AF14" s="73"/>
      <c r="AG14" s="73"/>
      <c r="AH14" s="73">
        <v>0</v>
      </c>
      <c r="AI14" s="85">
        <f t="shared" si="9"/>
        <v>0</v>
      </c>
      <c r="AJ14" s="73">
        <f t="shared" si="1"/>
        <v>0</v>
      </c>
      <c r="AK14" s="73">
        <v>0</v>
      </c>
      <c r="AL14" s="73">
        <v>0</v>
      </c>
      <c r="AM14" s="73">
        <v>0</v>
      </c>
      <c r="AN14" s="86">
        <f t="shared" si="2"/>
        <v>0</v>
      </c>
      <c r="AO14" s="71">
        <f t="shared" si="3"/>
        <v>3150</v>
      </c>
      <c r="AP14" s="73">
        <f>I14</f>
        <v>0</v>
      </c>
      <c r="AQ14" s="93">
        <f t="shared" si="5"/>
        <v>0</v>
      </c>
      <c r="AR14" s="73">
        <f t="shared" si="6"/>
        <v>0</v>
      </c>
      <c r="AS14" s="95">
        <v>549.9</v>
      </c>
      <c r="AT14" s="73">
        <v>0</v>
      </c>
      <c r="AU14" s="73"/>
      <c r="AV14" s="71">
        <f t="shared" si="11"/>
        <v>549.9</v>
      </c>
      <c r="AW14" s="71">
        <f t="shared" si="10"/>
        <v>2600.1</v>
      </c>
      <c r="AX14" s="73"/>
    </row>
    <row r="15" s="3" customFormat="1" ht="28" customHeight="1" spans="1:50">
      <c r="A15" s="16">
        <f t="shared" ref="A15:A24" si="12">ROW()-3</f>
        <v>12</v>
      </c>
      <c r="B15" s="23" t="s">
        <v>979</v>
      </c>
      <c r="C15" s="29" t="s">
        <v>115</v>
      </c>
      <c r="D15" s="19">
        <v>45778</v>
      </c>
      <c r="E15" s="26" t="s">
        <v>65</v>
      </c>
      <c r="F15" s="21">
        <v>31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46"/>
      <c r="R15" s="22"/>
      <c r="S15" s="22">
        <v>0</v>
      </c>
      <c r="T15" s="22">
        <v>0</v>
      </c>
      <c r="U15" s="64"/>
      <c r="V15" s="56"/>
      <c r="W15" s="57">
        <v>2950</v>
      </c>
      <c r="X15" s="58">
        <v>2000</v>
      </c>
      <c r="Y15" s="73">
        <v>250</v>
      </c>
      <c r="Z15" s="73">
        <v>200</v>
      </c>
      <c r="AA15" s="73">
        <v>150</v>
      </c>
      <c r="AB15" s="73">
        <v>100</v>
      </c>
      <c r="AC15" s="73">
        <v>150</v>
      </c>
      <c r="AD15" s="73">
        <v>100</v>
      </c>
      <c r="AE15" s="72">
        <f t="shared" si="0"/>
        <v>2950</v>
      </c>
      <c r="AF15" s="73"/>
      <c r="AG15" s="73"/>
      <c r="AH15" s="73">
        <v>0</v>
      </c>
      <c r="AI15" s="85">
        <f t="shared" si="9"/>
        <v>0</v>
      </c>
      <c r="AJ15" s="73">
        <f t="shared" si="1"/>
        <v>0</v>
      </c>
      <c r="AK15" s="73">
        <v>0</v>
      </c>
      <c r="AL15" s="73">
        <v>0</v>
      </c>
      <c r="AM15" s="73">
        <v>0</v>
      </c>
      <c r="AN15" s="86">
        <f t="shared" si="2"/>
        <v>0</v>
      </c>
      <c r="AO15" s="71">
        <f t="shared" si="3"/>
        <v>2950</v>
      </c>
      <c r="AP15" s="73">
        <f>I15</f>
        <v>0</v>
      </c>
      <c r="AQ15" s="93">
        <f t="shared" si="5"/>
        <v>0</v>
      </c>
      <c r="AR15" s="73">
        <f t="shared" si="6"/>
        <v>0</v>
      </c>
      <c r="AS15" s="95">
        <v>549.9</v>
      </c>
      <c r="AT15" s="94">
        <v>0</v>
      </c>
      <c r="AU15" s="94"/>
      <c r="AV15" s="71">
        <f t="shared" si="11"/>
        <v>549.9</v>
      </c>
      <c r="AW15" s="71">
        <f t="shared" si="10"/>
        <v>2400.1</v>
      </c>
      <c r="AX15" s="73"/>
    </row>
    <row r="16" s="3" customFormat="1" ht="28" customHeight="1" spans="1:50">
      <c r="A16" s="16">
        <f t="shared" si="12"/>
        <v>13</v>
      </c>
      <c r="B16" s="23" t="s">
        <v>980</v>
      </c>
      <c r="C16" s="29" t="s">
        <v>115</v>
      </c>
      <c r="D16" s="19">
        <v>45778</v>
      </c>
      <c r="E16" s="26" t="s">
        <v>65</v>
      </c>
      <c r="F16" s="21">
        <v>31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63"/>
      <c r="R16" s="22"/>
      <c r="S16" s="22">
        <v>0</v>
      </c>
      <c r="T16" s="22">
        <v>0</v>
      </c>
      <c r="U16" s="55"/>
      <c r="V16" s="56"/>
      <c r="W16" s="57">
        <v>2950</v>
      </c>
      <c r="X16" s="58">
        <v>2000</v>
      </c>
      <c r="Y16" s="73">
        <v>250</v>
      </c>
      <c r="Z16" s="73">
        <v>200</v>
      </c>
      <c r="AA16" s="73">
        <v>150</v>
      </c>
      <c r="AB16" s="73">
        <v>100</v>
      </c>
      <c r="AC16" s="73">
        <v>150</v>
      </c>
      <c r="AD16" s="73">
        <v>100</v>
      </c>
      <c r="AE16" s="72">
        <f t="shared" si="0"/>
        <v>2950</v>
      </c>
      <c r="AF16" s="73"/>
      <c r="AG16" s="73"/>
      <c r="AH16" s="73">
        <v>0</v>
      </c>
      <c r="AI16" s="85">
        <f t="shared" si="9"/>
        <v>0</v>
      </c>
      <c r="AJ16" s="73">
        <f t="shared" si="1"/>
        <v>0</v>
      </c>
      <c r="AK16" s="73">
        <v>0</v>
      </c>
      <c r="AL16" s="73">
        <v>0</v>
      </c>
      <c r="AM16" s="73">
        <v>0</v>
      </c>
      <c r="AN16" s="86">
        <f t="shared" si="2"/>
        <v>0</v>
      </c>
      <c r="AO16" s="71">
        <f t="shared" si="3"/>
        <v>2950</v>
      </c>
      <c r="AP16" s="73">
        <v>0</v>
      </c>
      <c r="AQ16" s="93">
        <v>0</v>
      </c>
      <c r="AR16" s="73">
        <f t="shared" si="6"/>
        <v>0</v>
      </c>
      <c r="AS16" s="73"/>
      <c r="AT16" s="73">
        <v>0</v>
      </c>
      <c r="AU16" s="73"/>
      <c r="AV16" s="71">
        <f t="shared" si="11"/>
        <v>0</v>
      </c>
      <c r="AW16" s="71">
        <f t="shared" si="10"/>
        <v>2950</v>
      </c>
      <c r="AX16" s="73"/>
    </row>
    <row r="17" s="3" customFormat="1" ht="28" customHeight="1" spans="1:50">
      <c r="A17" s="16">
        <f t="shared" si="12"/>
        <v>14</v>
      </c>
      <c r="B17" s="23" t="s">
        <v>981</v>
      </c>
      <c r="C17" s="29" t="s">
        <v>115</v>
      </c>
      <c r="D17" s="19">
        <v>45778</v>
      </c>
      <c r="E17" s="26" t="s">
        <v>65</v>
      </c>
      <c r="F17" s="21">
        <v>31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63"/>
      <c r="R17" s="22"/>
      <c r="S17" s="22">
        <v>0</v>
      </c>
      <c r="T17" s="22">
        <v>0</v>
      </c>
      <c r="U17" s="55"/>
      <c r="V17" s="56"/>
      <c r="W17" s="57">
        <v>2950</v>
      </c>
      <c r="X17" s="58">
        <v>2000</v>
      </c>
      <c r="Y17" s="73">
        <v>250</v>
      </c>
      <c r="Z17" s="73">
        <v>200</v>
      </c>
      <c r="AA17" s="73">
        <v>150</v>
      </c>
      <c r="AB17" s="73">
        <v>100</v>
      </c>
      <c r="AC17" s="73">
        <v>150</v>
      </c>
      <c r="AD17" s="73">
        <v>100</v>
      </c>
      <c r="AE17" s="72">
        <f t="shared" si="0"/>
        <v>2950</v>
      </c>
      <c r="AF17" s="73"/>
      <c r="AG17" s="73"/>
      <c r="AH17" s="73">
        <v>0</v>
      </c>
      <c r="AI17" s="85">
        <f t="shared" si="9"/>
        <v>0</v>
      </c>
      <c r="AJ17" s="73">
        <f t="shared" si="1"/>
        <v>0</v>
      </c>
      <c r="AK17" s="73">
        <v>0</v>
      </c>
      <c r="AL17" s="73">
        <v>0</v>
      </c>
      <c r="AM17" s="73">
        <v>0</v>
      </c>
      <c r="AN17" s="86">
        <f t="shared" si="2"/>
        <v>0</v>
      </c>
      <c r="AO17" s="71">
        <f t="shared" si="3"/>
        <v>2950</v>
      </c>
      <c r="AP17" s="73">
        <v>0</v>
      </c>
      <c r="AQ17" s="93">
        <f>AE17/F17*AP17</f>
        <v>0</v>
      </c>
      <c r="AR17" s="73">
        <f t="shared" si="6"/>
        <v>0</v>
      </c>
      <c r="AS17" s="73"/>
      <c r="AT17" s="73">
        <v>0</v>
      </c>
      <c r="AU17" s="73"/>
      <c r="AV17" s="71">
        <f t="shared" si="11"/>
        <v>0</v>
      </c>
      <c r="AW17" s="71">
        <f t="shared" si="10"/>
        <v>2950</v>
      </c>
      <c r="AX17" s="73"/>
    </row>
    <row r="18" s="3" customFormat="1" ht="28" customHeight="1" spans="1:50">
      <c r="A18" s="16">
        <f t="shared" si="12"/>
        <v>15</v>
      </c>
      <c r="B18" s="23" t="s">
        <v>982</v>
      </c>
      <c r="C18" s="29" t="s">
        <v>885</v>
      </c>
      <c r="D18" s="19">
        <v>45778</v>
      </c>
      <c r="E18" s="26" t="s">
        <v>65</v>
      </c>
      <c r="F18" s="21">
        <v>31</v>
      </c>
      <c r="G18" s="22">
        <v>0</v>
      </c>
      <c r="H18" s="22">
        <v>0</v>
      </c>
      <c r="I18" s="22">
        <v>13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46" t="s">
        <v>983</v>
      </c>
      <c r="R18" s="22"/>
      <c r="S18" s="22">
        <v>0</v>
      </c>
      <c r="T18" s="22">
        <v>0</v>
      </c>
      <c r="U18" s="55"/>
      <c r="V18" s="56"/>
      <c r="W18" s="57">
        <v>3800</v>
      </c>
      <c r="X18" s="58">
        <v>2500</v>
      </c>
      <c r="Y18" s="73">
        <v>300</v>
      </c>
      <c r="Z18" s="73">
        <v>200</v>
      </c>
      <c r="AA18" s="73">
        <v>300</v>
      </c>
      <c r="AB18" s="73">
        <v>150</v>
      </c>
      <c r="AC18" s="73">
        <v>200</v>
      </c>
      <c r="AD18" s="73">
        <v>150</v>
      </c>
      <c r="AE18" s="72">
        <f t="shared" si="0"/>
        <v>3800</v>
      </c>
      <c r="AF18" s="73"/>
      <c r="AG18" s="73"/>
      <c r="AH18" s="73">
        <v>0</v>
      </c>
      <c r="AI18" s="85">
        <f t="shared" si="9"/>
        <v>0</v>
      </c>
      <c r="AJ18" s="73">
        <f t="shared" si="1"/>
        <v>0</v>
      </c>
      <c r="AK18" s="73">
        <v>0</v>
      </c>
      <c r="AL18" s="73">
        <v>0</v>
      </c>
      <c r="AM18" s="73">
        <v>0</v>
      </c>
      <c r="AN18" s="86">
        <f t="shared" si="2"/>
        <v>0</v>
      </c>
      <c r="AO18" s="71">
        <f t="shared" si="3"/>
        <v>3800</v>
      </c>
      <c r="AP18" s="73">
        <v>13</v>
      </c>
      <c r="AQ18" s="93">
        <f>AE18/F18*AP18</f>
        <v>1593.54838709677</v>
      </c>
      <c r="AR18" s="73">
        <f t="shared" si="6"/>
        <v>0</v>
      </c>
      <c r="AS18" s="73"/>
      <c r="AT18" s="73">
        <v>0</v>
      </c>
      <c r="AU18" s="73"/>
      <c r="AV18" s="71">
        <f t="shared" si="11"/>
        <v>1593.54838709677</v>
      </c>
      <c r="AW18" s="71">
        <f t="shared" si="10"/>
        <v>2206.45161290323</v>
      </c>
      <c r="AX18" s="73"/>
    </row>
    <row r="19" s="3" customFormat="1" ht="28" customHeight="1" spans="1:50">
      <c r="A19" s="16">
        <f t="shared" si="12"/>
        <v>16</v>
      </c>
      <c r="B19" s="30" t="s">
        <v>984</v>
      </c>
      <c r="C19" s="29" t="s">
        <v>885</v>
      </c>
      <c r="D19" s="19">
        <v>45779</v>
      </c>
      <c r="E19" s="31" t="s">
        <v>107</v>
      </c>
      <c r="F19" s="21">
        <v>12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65" t="s">
        <v>985</v>
      </c>
      <c r="R19" s="22"/>
      <c r="S19" s="22">
        <v>0</v>
      </c>
      <c r="T19" s="22">
        <v>0</v>
      </c>
      <c r="U19" s="55"/>
      <c r="V19" s="56"/>
      <c r="W19" s="57">
        <v>3800</v>
      </c>
      <c r="X19" s="58">
        <f>3800/31*12</f>
        <v>1470.96774193548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2">
        <f t="shared" si="0"/>
        <v>1470.96774193548</v>
      </c>
      <c r="AF19" s="73"/>
      <c r="AG19" s="73"/>
      <c r="AH19" s="73">
        <v>0</v>
      </c>
      <c r="AI19" s="85">
        <f t="shared" si="9"/>
        <v>0</v>
      </c>
      <c r="AJ19" s="73">
        <f t="shared" si="1"/>
        <v>0</v>
      </c>
      <c r="AK19" s="73">
        <v>0</v>
      </c>
      <c r="AL19" s="73">
        <v>0</v>
      </c>
      <c r="AM19" s="73">
        <v>0</v>
      </c>
      <c r="AN19" s="86">
        <f t="shared" si="2"/>
        <v>0</v>
      </c>
      <c r="AO19" s="71">
        <f t="shared" si="3"/>
        <v>1470.96774193548</v>
      </c>
      <c r="AP19" s="73"/>
      <c r="AQ19" s="93">
        <f>AE19/F19*AP19</f>
        <v>0</v>
      </c>
      <c r="AR19" s="73">
        <f t="shared" si="6"/>
        <v>0</v>
      </c>
      <c r="AS19" s="73"/>
      <c r="AT19" s="94">
        <v>0</v>
      </c>
      <c r="AU19" s="94">
        <v>60</v>
      </c>
      <c r="AV19" s="71">
        <f t="shared" si="11"/>
        <v>60</v>
      </c>
      <c r="AW19" s="71">
        <f t="shared" si="10"/>
        <v>1410.96774193548</v>
      </c>
      <c r="AX19" s="96" t="s">
        <v>986</v>
      </c>
    </row>
    <row r="20" s="3" customFormat="1" ht="28" customHeight="1" spans="1:50">
      <c r="A20" s="16">
        <f t="shared" si="12"/>
        <v>17</v>
      </c>
      <c r="B20" s="23" t="s">
        <v>987</v>
      </c>
      <c r="C20" s="29" t="s">
        <v>885</v>
      </c>
      <c r="D20" s="32">
        <v>45789</v>
      </c>
      <c r="E20" s="26" t="s">
        <v>65</v>
      </c>
      <c r="F20" s="21">
        <v>20</v>
      </c>
      <c r="G20" s="22">
        <v>0</v>
      </c>
      <c r="H20" s="22">
        <v>0</v>
      </c>
      <c r="I20" s="22">
        <v>0</v>
      </c>
      <c r="J20" s="22"/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63" t="s">
        <v>988</v>
      </c>
      <c r="R20" s="22"/>
      <c r="S20" s="22">
        <v>0</v>
      </c>
      <c r="T20" s="22">
        <v>0</v>
      </c>
      <c r="U20" s="55"/>
      <c r="V20" s="56"/>
      <c r="W20" s="57">
        <v>3800</v>
      </c>
      <c r="X20" s="58">
        <f>3800/31*20</f>
        <v>2451.61290322581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2">
        <f t="shared" si="0"/>
        <v>2451.61290322581</v>
      </c>
      <c r="AF20" s="73"/>
      <c r="AG20" s="73"/>
      <c r="AH20" s="73">
        <v>0</v>
      </c>
      <c r="AI20" s="85">
        <f t="shared" si="9"/>
        <v>0</v>
      </c>
      <c r="AJ20" s="73">
        <f t="shared" si="1"/>
        <v>0</v>
      </c>
      <c r="AK20" s="73">
        <v>0</v>
      </c>
      <c r="AL20" s="73">
        <v>0</v>
      </c>
      <c r="AM20" s="73">
        <v>0</v>
      </c>
      <c r="AN20" s="86">
        <f t="shared" si="2"/>
        <v>0</v>
      </c>
      <c r="AO20" s="71">
        <f t="shared" si="3"/>
        <v>2451.61290322581</v>
      </c>
      <c r="AP20" s="73"/>
      <c r="AQ20" s="93">
        <f>AE20/F20*AP20</f>
        <v>0</v>
      </c>
      <c r="AR20" s="73">
        <f t="shared" si="6"/>
        <v>0</v>
      </c>
      <c r="AS20" s="73"/>
      <c r="AT20" s="73">
        <v>0</v>
      </c>
      <c r="AU20" s="73"/>
      <c r="AV20" s="71">
        <f t="shared" si="11"/>
        <v>0</v>
      </c>
      <c r="AW20" s="71">
        <f t="shared" si="10"/>
        <v>2451.61290322581</v>
      </c>
      <c r="AX20" s="93"/>
    </row>
    <row r="21" s="3" customFormat="1" ht="28" customHeight="1" spans="1:50">
      <c r="A21" s="16">
        <f t="shared" si="12"/>
        <v>18</v>
      </c>
      <c r="B21" s="33" t="s">
        <v>989</v>
      </c>
      <c r="C21" s="29" t="s">
        <v>885</v>
      </c>
      <c r="D21" s="19">
        <v>45778</v>
      </c>
      <c r="E21" s="31" t="s">
        <v>107</v>
      </c>
      <c r="F21" s="21">
        <v>31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65" t="s">
        <v>990</v>
      </c>
      <c r="R21" s="22"/>
      <c r="S21" s="22">
        <v>0</v>
      </c>
      <c r="T21" s="22">
        <v>0</v>
      </c>
      <c r="U21" s="55"/>
      <c r="V21" s="56"/>
      <c r="W21" s="57">
        <v>3500</v>
      </c>
      <c r="X21" s="58">
        <v>2300</v>
      </c>
      <c r="Y21" s="73">
        <v>300</v>
      </c>
      <c r="Z21" s="73">
        <v>200</v>
      </c>
      <c r="AA21" s="73">
        <v>200</v>
      </c>
      <c r="AB21" s="73">
        <v>150</v>
      </c>
      <c r="AC21" s="73">
        <v>200</v>
      </c>
      <c r="AD21" s="73">
        <v>150</v>
      </c>
      <c r="AE21" s="72">
        <f t="shared" si="0"/>
        <v>3500</v>
      </c>
      <c r="AF21" s="73"/>
      <c r="AG21" s="73"/>
      <c r="AH21" s="73">
        <v>0</v>
      </c>
      <c r="AI21" s="85">
        <f t="shared" si="9"/>
        <v>0</v>
      </c>
      <c r="AJ21" s="73">
        <f t="shared" si="1"/>
        <v>0</v>
      </c>
      <c r="AK21" s="73">
        <v>0</v>
      </c>
      <c r="AL21" s="73">
        <v>0</v>
      </c>
      <c r="AM21" s="73">
        <v>0</v>
      </c>
      <c r="AN21" s="86">
        <f t="shared" si="2"/>
        <v>0</v>
      </c>
      <c r="AO21" s="71">
        <f t="shared" si="3"/>
        <v>3500</v>
      </c>
      <c r="AP21" s="73">
        <v>0</v>
      </c>
      <c r="AQ21" s="93">
        <v>0</v>
      </c>
      <c r="AR21" s="73">
        <f t="shared" si="6"/>
        <v>0</v>
      </c>
      <c r="AS21" s="95">
        <v>549.9</v>
      </c>
      <c r="AT21" s="94">
        <v>0</v>
      </c>
      <c r="AU21" s="94"/>
      <c r="AV21" s="71">
        <f t="shared" si="11"/>
        <v>549.9</v>
      </c>
      <c r="AW21" s="71">
        <f t="shared" si="10"/>
        <v>2950.1</v>
      </c>
      <c r="AX21" s="93"/>
    </row>
    <row r="22" s="4" customFormat="1" ht="28" customHeight="1" spans="1:51">
      <c r="A22" s="16">
        <f t="shared" si="12"/>
        <v>19</v>
      </c>
      <c r="B22" s="34" t="s">
        <v>991</v>
      </c>
      <c r="C22" s="29" t="s">
        <v>885</v>
      </c>
      <c r="D22" s="19">
        <v>45803</v>
      </c>
      <c r="E22" s="26" t="s">
        <v>65</v>
      </c>
      <c r="F22" s="21">
        <v>6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63" t="s">
        <v>992</v>
      </c>
      <c r="R22" s="38"/>
      <c r="S22" s="22">
        <v>0</v>
      </c>
      <c r="T22" s="22">
        <v>0</v>
      </c>
      <c r="U22" s="66"/>
      <c r="V22" s="66"/>
      <c r="W22" s="57">
        <v>3800</v>
      </c>
      <c r="X22" s="58">
        <f>3800/31*6</f>
        <v>735.483870967742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2">
        <f t="shared" si="0"/>
        <v>735.483870967742</v>
      </c>
      <c r="AF22" s="75"/>
      <c r="AG22" s="75"/>
      <c r="AH22" s="73"/>
      <c r="AI22" s="85"/>
      <c r="AJ22" s="73"/>
      <c r="AK22" s="73"/>
      <c r="AL22" s="73"/>
      <c r="AM22" s="73"/>
      <c r="AN22" s="86"/>
      <c r="AO22" s="71">
        <f t="shared" si="3"/>
        <v>735.483870967742</v>
      </c>
      <c r="AP22" s="73"/>
      <c r="AQ22" s="93">
        <f>AE22/F22*AP22</f>
        <v>0</v>
      </c>
      <c r="AR22" s="75"/>
      <c r="AS22" s="75"/>
      <c r="AT22" s="75"/>
      <c r="AU22" s="75"/>
      <c r="AV22" s="71">
        <f t="shared" si="11"/>
        <v>0</v>
      </c>
      <c r="AW22" s="71">
        <f t="shared" si="10"/>
        <v>735.483870967742</v>
      </c>
      <c r="AX22" s="66"/>
      <c r="AY22" s="3"/>
    </row>
    <row r="23" s="4" customFormat="1" ht="28" customHeight="1" spans="1:51">
      <c r="A23" s="16">
        <f t="shared" si="12"/>
        <v>20</v>
      </c>
      <c r="B23" s="35" t="s">
        <v>993</v>
      </c>
      <c r="C23" s="29" t="s">
        <v>885</v>
      </c>
      <c r="D23" s="19">
        <v>45803</v>
      </c>
      <c r="E23" s="31" t="s">
        <v>107</v>
      </c>
      <c r="F23" s="21">
        <v>6</v>
      </c>
      <c r="G23" s="22">
        <v>0</v>
      </c>
      <c r="H23" s="22">
        <v>0</v>
      </c>
      <c r="I23" s="22">
        <v>0</v>
      </c>
      <c r="J23" s="22"/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62" t="s">
        <v>994</v>
      </c>
      <c r="R23" s="38"/>
      <c r="S23" s="22">
        <v>0</v>
      </c>
      <c r="T23" s="22">
        <v>0</v>
      </c>
      <c r="U23" s="66"/>
      <c r="V23" s="66"/>
      <c r="W23" s="57">
        <v>3800</v>
      </c>
      <c r="X23" s="58">
        <f>3800/31*6</f>
        <v>735.483870967742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2">
        <f t="shared" si="0"/>
        <v>735.483870967742</v>
      </c>
      <c r="AF23" s="75"/>
      <c r="AG23" s="75"/>
      <c r="AH23" s="75"/>
      <c r="AI23" s="75"/>
      <c r="AJ23" s="75"/>
      <c r="AK23" s="75"/>
      <c r="AL23" s="75"/>
      <c r="AM23" s="75"/>
      <c r="AN23" s="87"/>
      <c r="AO23" s="71">
        <f t="shared" si="3"/>
        <v>735.483870967742</v>
      </c>
      <c r="AP23" s="73"/>
      <c r="AQ23" s="93">
        <f>AE23/F23*AP23</f>
        <v>0</v>
      </c>
      <c r="AR23" s="75"/>
      <c r="AS23" s="75"/>
      <c r="AT23" s="75"/>
      <c r="AU23" s="75"/>
      <c r="AV23" s="71">
        <f t="shared" si="11"/>
        <v>0</v>
      </c>
      <c r="AW23" s="71">
        <f t="shared" si="10"/>
        <v>735.483870967742</v>
      </c>
      <c r="AX23" s="66"/>
      <c r="AY23" s="3"/>
    </row>
    <row r="24" s="4" customFormat="1" ht="58" customHeight="1" spans="1:51">
      <c r="A24" s="16">
        <f t="shared" si="12"/>
        <v>21</v>
      </c>
      <c r="B24" s="36" t="s">
        <v>995</v>
      </c>
      <c r="C24" s="29" t="s">
        <v>885</v>
      </c>
      <c r="D24" s="19">
        <v>45794</v>
      </c>
      <c r="E24" s="31" t="s">
        <v>107</v>
      </c>
      <c r="F24" s="21">
        <v>15</v>
      </c>
      <c r="G24" s="22">
        <v>0</v>
      </c>
      <c r="H24" s="22">
        <v>0</v>
      </c>
      <c r="I24" s="22">
        <v>0</v>
      </c>
      <c r="J24" s="22"/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62" t="s">
        <v>996</v>
      </c>
      <c r="R24" s="38"/>
      <c r="S24" s="22">
        <v>0</v>
      </c>
      <c r="T24" s="22">
        <v>0</v>
      </c>
      <c r="U24" s="66"/>
      <c r="V24" s="66"/>
      <c r="W24" s="57">
        <v>3800</v>
      </c>
      <c r="X24" s="58">
        <f>3800/31*15</f>
        <v>1838.70967741935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2">
        <f t="shared" si="0"/>
        <v>1838.70967741935</v>
      </c>
      <c r="AF24" s="75"/>
      <c r="AG24" s="75"/>
      <c r="AH24" s="73"/>
      <c r="AI24" s="85"/>
      <c r="AJ24" s="73"/>
      <c r="AK24" s="73"/>
      <c r="AL24" s="73"/>
      <c r="AM24" s="73"/>
      <c r="AN24" s="86"/>
      <c r="AO24" s="71">
        <f t="shared" si="3"/>
        <v>1838.70967741935</v>
      </c>
      <c r="AP24" s="73"/>
      <c r="AQ24" s="93">
        <f>AE24/F24*AP24</f>
        <v>0</v>
      </c>
      <c r="AR24" s="73">
        <f>(G24*2)</f>
        <v>0</v>
      </c>
      <c r="AS24" s="73"/>
      <c r="AT24" s="94">
        <v>0</v>
      </c>
      <c r="AU24" s="94">
        <v>75</v>
      </c>
      <c r="AV24" s="71">
        <f t="shared" si="11"/>
        <v>75</v>
      </c>
      <c r="AW24" s="97">
        <f t="shared" si="10"/>
        <v>1763.70967741935</v>
      </c>
      <c r="AX24" s="96" t="s">
        <v>997</v>
      </c>
      <c r="AY24" s="3" t="s">
        <v>998</v>
      </c>
    </row>
    <row r="25" s="4" customFormat="1" ht="44" customHeight="1" spans="1:51">
      <c r="A25" s="16"/>
      <c r="B25" s="37" t="s">
        <v>36</v>
      </c>
      <c r="C25" s="38"/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67"/>
      <c r="R25" s="38"/>
      <c r="S25" s="38"/>
      <c r="T25" s="66"/>
      <c r="U25" s="66"/>
      <c r="V25" s="66"/>
      <c r="W25" s="66">
        <f>SUM(W4:W24)</f>
        <v>77100</v>
      </c>
      <c r="X25" s="66">
        <f t="shared" ref="X25:AW25" si="13">SUM(X4:X24)</f>
        <v>43800</v>
      </c>
      <c r="Y25" s="66">
        <f t="shared" si="13"/>
        <v>5750</v>
      </c>
      <c r="Z25" s="66">
        <f t="shared" si="13"/>
        <v>3700</v>
      </c>
      <c r="AA25" s="66">
        <f t="shared" si="13"/>
        <v>2800</v>
      </c>
      <c r="AB25" s="66">
        <f t="shared" si="13"/>
        <v>2300</v>
      </c>
      <c r="AC25" s="66">
        <f t="shared" si="13"/>
        <v>2500</v>
      </c>
      <c r="AD25" s="66">
        <f t="shared" si="13"/>
        <v>1750</v>
      </c>
      <c r="AE25" s="66">
        <f t="shared" si="13"/>
        <v>62600</v>
      </c>
      <c r="AF25" s="66">
        <f t="shared" si="13"/>
        <v>0</v>
      </c>
      <c r="AG25" s="66">
        <f t="shared" si="13"/>
        <v>1950</v>
      </c>
      <c r="AH25" s="66">
        <f t="shared" si="13"/>
        <v>10</v>
      </c>
      <c r="AI25" s="66">
        <f t="shared" si="13"/>
        <v>0</v>
      </c>
      <c r="AJ25" s="66">
        <f t="shared" si="13"/>
        <v>0</v>
      </c>
      <c r="AK25" s="66">
        <f t="shared" si="13"/>
        <v>0</v>
      </c>
      <c r="AL25" s="66">
        <f t="shared" si="13"/>
        <v>0</v>
      </c>
      <c r="AM25" s="66">
        <f t="shared" si="13"/>
        <v>0</v>
      </c>
      <c r="AN25" s="66">
        <f t="shared" si="13"/>
        <v>0</v>
      </c>
      <c r="AO25" s="66">
        <f t="shared" si="13"/>
        <v>64560</v>
      </c>
      <c r="AP25" s="66">
        <f t="shared" si="13"/>
        <v>31</v>
      </c>
      <c r="AQ25" s="66">
        <f t="shared" si="13"/>
        <v>3625.80645161291</v>
      </c>
      <c r="AR25" s="66">
        <f t="shared" si="13"/>
        <v>0</v>
      </c>
      <c r="AS25" s="66">
        <f t="shared" si="13"/>
        <v>3849.3</v>
      </c>
      <c r="AT25" s="66">
        <f t="shared" si="13"/>
        <v>885</v>
      </c>
      <c r="AU25" s="66">
        <f t="shared" si="13"/>
        <v>135</v>
      </c>
      <c r="AV25" s="66">
        <f t="shared" si="13"/>
        <v>8495.10645161291</v>
      </c>
      <c r="AW25" s="66">
        <f t="shared" si="13"/>
        <v>56064.8935483871</v>
      </c>
      <c r="AX25" s="66"/>
      <c r="AY25" s="3"/>
    </row>
    <row r="26" ht="29" customHeight="1"/>
    <row r="27" s="1" customFormat="1" customHeight="1" spans="1:40">
      <c r="A27" s="6"/>
      <c r="B27" s="7"/>
      <c r="D27" s="2"/>
      <c r="AN27" s="8"/>
    </row>
    <row r="28" s="5" customFormat="1" ht="45" customHeight="1" spans="1:40">
      <c r="A28" s="40"/>
      <c r="B28" s="41" t="s">
        <v>85</v>
      </c>
      <c r="D28" s="42"/>
      <c r="AN28" s="88"/>
    </row>
  </sheetData>
  <mergeCells count="49">
    <mergeCell ref="A1:AX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V2:AV3"/>
    <mergeCell ref="AW2:AW3"/>
    <mergeCell ref="AX2:AX3"/>
  </mergeCells>
  <conditionalFormatting sqref="C8">
    <cfRule type="duplicateValues" dxfId="0" priority="2"/>
  </conditionalFormatting>
  <conditionalFormatting sqref="B9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AE4:AE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53"/>
  <sheetViews>
    <sheetView zoomScale="90" zoomScaleNormal="90" workbookViewId="0">
      <pane xSplit="6" ySplit="3" topLeftCell="G34" activePane="bottomRight" state="frozen"/>
      <selection/>
      <selection pane="topRight"/>
      <selection pane="bottomLeft"/>
      <selection pane="bottomRight" activeCell="AW7" sqref="AW7"/>
    </sheetView>
  </sheetViews>
  <sheetFormatPr defaultColWidth="8.45833333333333" defaultRowHeight="20" customHeight="1"/>
  <cols>
    <col min="1" max="1" width="3.7" style="6" customWidth="1"/>
    <col min="2" max="2" width="10.8333333333333" style="7" customWidth="1"/>
    <col min="3" max="3" width="10.8333333333333" style="1" hidden="1" customWidth="1"/>
    <col min="4" max="4" width="10.8333333333333" style="4" hidden="1" customWidth="1"/>
    <col min="5" max="9" width="10.8333333333333" style="1" hidden="1" customWidth="1"/>
    <col min="10" max="16" width="8.19166666666667" style="1" hidden="1" customWidth="1"/>
    <col min="17" max="29" width="10.8333333333333" style="1" hidden="1" customWidth="1"/>
    <col min="30" max="30" width="10.8333333333333" style="1" customWidth="1"/>
    <col min="31" max="31" width="10.8333333333333" style="7" customWidth="1"/>
    <col min="32" max="38" width="10.8333333333333" style="1" customWidth="1"/>
    <col min="39" max="39" width="10.8333333333333" style="8" customWidth="1"/>
    <col min="40" max="48" width="10.8333333333333" style="1" customWidth="1"/>
    <col min="49" max="49" width="30.4166666666667" style="2" customWidth="1"/>
    <col min="50" max="16381" width="8.45833333333333" style="1" customWidth="1"/>
    <col min="16382" max="16384" width="8.45833333333333" style="1"/>
  </cols>
  <sheetData>
    <row r="1" s="1" customFormat="1" customHeight="1" spans="1:49">
      <c r="A1" s="564"/>
      <c r="B1" s="7"/>
      <c r="C1" s="7"/>
      <c r="D1" s="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9"/>
      <c r="U1" s="9"/>
      <c r="V1" s="9"/>
      <c r="W1" s="9" t="s">
        <v>86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609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="1" customFormat="1" customHeight="1" spans="1:49">
      <c r="A2" s="11" t="s">
        <v>0</v>
      </c>
      <c r="B2" s="12" t="s">
        <v>1</v>
      </c>
      <c r="C2" s="13" t="s">
        <v>2</v>
      </c>
      <c r="D2" s="565" t="s">
        <v>3</v>
      </c>
      <c r="E2" s="13" t="s">
        <v>4</v>
      </c>
      <c r="F2" s="13" t="s">
        <v>87</v>
      </c>
      <c r="G2" s="13" t="s">
        <v>38</v>
      </c>
      <c r="H2" s="13" t="s">
        <v>88</v>
      </c>
      <c r="I2" s="13" t="s">
        <v>7</v>
      </c>
      <c r="J2" s="13"/>
      <c r="K2" s="13" t="s">
        <v>9</v>
      </c>
      <c r="L2" s="13" t="s">
        <v>89</v>
      </c>
      <c r="M2" s="13" t="s">
        <v>90</v>
      </c>
      <c r="N2" s="13" t="s">
        <v>91</v>
      </c>
      <c r="O2" s="12" t="s">
        <v>12</v>
      </c>
      <c r="P2" s="13" t="s">
        <v>92</v>
      </c>
      <c r="Q2" s="13" t="s">
        <v>14</v>
      </c>
      <c r="R2" s="13" t="s">
        <v>15</v>
      </c>
      <c r="S2" s="13" t="s">
        <v>93</v>
      </c>
      <c r="T2" s="13" t="s">
        <v>94</v>
      </c>
      <c r="U2" s="13" t="s">
        <v>18</v>
      </c>
      <c r="V2" s="43" t="s">
        <v>95</v>
      </c>
      <c r="W2" s="44" t="s">
        <v>21</v>
      </c>
      <c r="X2" s="44" t="s">
        <v>22</v>
      </c>
      <c r="Y2" s="44" t="s">
        <v>23</v>
      </c>
      <c r="Z2" s="44" t="s">
        <v>24</v>
      </c>
      <c r="AA2" s="44" t="s">
        <v>25</v>
      </c>
      <c r="AB2" s="44" t="s">
        <v>26</v>
      </c>
      <c r="AC2" s="44" t="s">
        <v>96</v>
      </c>
      <c r="AD2" s="68" t="s">
        <v>28</v>
      </c>
      <c r="AE2" s="69" t="s">
        <v>41</v>
      </c>
      <c r="AF2" s="44" t="s">
        <v>97</v>
      </c>
      <c r="AG2" s="69" t="s">
        <v>98</v>
      </c>
      <c r="AH2" s="76" t="s">
        <v>31</v>
      </c>
      <c r="AI2" s="77" t="s">
        <v>32</v>
      </c>
      <c r="AJ2" s="78" t="s">
        <v>33</v>
      </c>
      <c r="AK2" s="78" t="s">
        <v>34</v>
      </c>
      <c r="AL2" s="78" t="s">
        <v>35</v>
      </c>
      <c r="AM2" s="79" t="s">
        <v>95</v>
      </c>
      <c r="AN2" s="76" t="s">
        <v>36</v>
      </c>
      <c r="AO2" s="76" t="s">
        <v>37</v>
      </c>
      <c r="AP2" s="76" t="s">
        <v>39</v>
      </c>
      <c r="AQ2" s="89" t="s">
        <v>38</v>
      </c>
      <c r="AR2" s="89" t="s">
        <v>99</v>
      </c>
      <c r="AS2" s="44" t="s">
        <v>42</v>
      </c>
      <c r="AT2" s="44" t="s">
        <v>100</v>
      </c>
      <c r="AU2" s="76" t="s">
        <v>43</v>
      </c>
      <c r="AV2" s="76" t="s">
        <v>44</v>
      </c>
      <c r="AW2" s="618" t="s">
        <v>45</v>
      </c>
    </row>
    <row r="3" s="1" customFormat="1" customHeight="1" spans="1:49">
      <c r="A3" s="11"/>
      <c r="B3" s="15"/>
      <c r="C3" s="13"/>
      <c r="D3" s="565"/>
      <c r="E3" s="13"/>
      <c r="F3" s="13"/>
      <c r="G3" s="13"/>
      <c r="H3" s="13"/>
      <c r="I3" s="13" t="s">
        <v>101</v>
      </c>
      <c r="J3" s="13" t="s">
        <v>102</v>
      </c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45"/>
      <c r="W3" s="44"/>
      <c r="X3" s="44"/>
      <c r="Y3" s="44"/>
      <c r="Z3" s="44"/>
      <c r="AA3" s="44"/>
      <c r="AB3" s="44"/>
      <c r="AC3" s="44"/>
      <c r="AD3" s="68"/>
      <c r="AE3" s="70"/>
      <c r="AF3" s="44"/>
      <c r="AG3" s="70"/>
      <c r="AH3" s="76"/>
      <c r="AI3" s="80"/>
      <c r="AJ3" s="81"/>
      <c r="AK3" s="81"/>
      <c r="AL3" s="81"/>
      <c r="AM3" s="82"/>
      <c r="AN3" s="76"/>
      <c r="AO3" s="76"/>
      <c r="AP3" s="76"/>
      <c r="AQ3" s="90"/>
      <c r="AR3" s="90"/>
      <c r="AS3" s="44"/>
      <c r="AT3" s="44"/>
      <c r="AU3" s="76"/>
      <c r="AV3" s="76"/>
      <c r="AW3" s="618"/>
    </row>
    <row r="4" s="561" customFormat="1" ht="30" customHeight="1" spans="1:49">
      <c r="A4" s="321">
        <f t="shared" ref="A4:A49" si="0">ROW()-3</f>
        <v>1</v>
      </c>
      <c r="B4" s="566" t="s">
        <v>103</v>
      </c>
      <c r="C4" s="567" t="s">
        <v>77</v>
      </c>
      <c r="D4" s="568">
        <v>45741</v>
      </c>
      <c r="E4" s="20" t="s">
        <v>65</v>
      </c>
      <c r="F4" s="569">
        <v>31</v>
      </c>
      <c r="G4" s="570">
        <v>0</v>
      </c>
      <c r="H4" s="570">
        <v>0</v>
      </c>
      <c r="I4" s="570">
        <v>0</v>
      </c>
      <c r="J4" s="570">
        <v>0</v>
      </c>
      <c r="K4" s="570">
        <v>0</v>
      </c>
      <c r="L4" s="570">
        <v>0</v>
      </c>
      <c r="M4" s="570">
        <v>0</v>
      </c>
      <c r="N4" s="570">
        <v>0</v>
      </c>
      <c r="O4" s="570">
        <v>0</v>
      </c>
      <c r="P4" s="570">
        <v>0</v>
      </c>
      <c r="Q4" s="589"/>
      <c r="R4" s="570"/>
      <c r="S4" s="570"/>
      <c r="T4" s="570"/>
      <c r="U4" s="590"/>
      <c r="V4" s="591"/>
      <c r="W4" s="592">
        <v>3000</v>
      </c>
      <c r="X4" s="593">
        <v>2000</v>
      </c>
      <c r="Y4" s="593">
        <v>500</v>
      </c>
      <c r="Z4" s="593">
        <v>300</v>
      </c>
      <c r="AA4" s="593">
        <v>300</v>
      </c>
      <c r="AB4" s="593">
        <v>200</v>
      </c>
      <c r="AC4" s="593">
        <v>200</v>
      </c>
      <c r="AD4" s="605">
        <f t="shared" ref="AD4:AD49" si="1">SUM(W4:AC4)</f>
        <v>6500</v>
      </c>
      <c r="AE4" s="606"/>
      <c r="AF4" s="58"/>
      <c r="AG4" s="58"/>
      <c r="AH4" s="58"/>
      <c r="AI4" s="610"/>
      <c r="AJ4" s="58"/>
      <c r="AK4" s="58"/>
      <c r="AL4" s="58"/>
      <c r="AM4" s="611"/>
      <c r="AN4" s="612">
        <f>SUM(AD4:AM4)</f>
        <v>6500</v>
      </c>
      <c r="AO4" s="50"/>
      <c r="AP4" s="58"/>
      <c r="AQ4" s="589"/>
      <c r="AR4" s="589">
        <v>634.9</v>
      </c>
      <c r="AS4" s="615">
        <v>634.9</v>
      </c>
      <c r="AT4" s="58"/>
      <c r="AU4" s="58">
        <f>SUM(AP4:AT4)</f>
        <v>1269.8</v>
      </c>
      <c r="AV4" s="58">
        <f>AN4-AU4</f>
        <v>5230.2</v>
      </c>
      <c r="AW4" s="350" t="s">
        <v>104</v>
      </c>
    </row>
    <row r="5" s="3" customFormat="1" ht="30" customHeight="1" spans="1:49">
      <c r="A5" s="240">
        <f t="shared" si="0"/>
        <v>2</v>
      </c>
      <c r="B5" s="30" t="s">
        <v>105</v>
      </c>
      <c r="C5" s="49" t="s">
        <v>106</v>
      </c>
      <c r="D5" s="568">
        <v>45593</v>
      </c>
      <c r="E5" s="31" t="s">
        <v>107</v>
      </c>
      <c r="F5" s="21">
        <v>31</v>
      </c>
      <c r="G5" s="22">
        <v>0</v>
      </c>
      <c r="H5" s="22">
        <v>0</v>
      </c>
      <c r="I5" s="22"/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65" t="s">
        <v>108</v>
      </c>
      <c r="R5" s="22">
        <v>0</v>
      </c>
      <c r="S5" s="22">
        <v>0</v>
      </c>
      <c r="T5" s="22">
        <v>0</v>
      </c>
      <c r="U5" s="47"/>
      <c r="V5" s="56"/>
      <c r="W5" s="593">
        <v>2000</v>
      </c>
      <c r="X5" s="74">
        <v>700</v>
      </c>
      <c r="Y5" s="74">
        <v>400</v>
      </c>
      <c r="Z5" s="74">
        <v>200</v>
      </c>
      <c r="AA5" s="74">
        <v>200</v>
      </c>
      <c r="AB5" s="74">
        <v>300</v>
      </c>
      <c r="AC5" s="74">
        <v>200</v>
      </c>
      <c r="AD5" s="607">
        <f t="shared" si="1"/>
        <v>4000</v>
      </c>
      <c r="AE5" s="73"/>
      <c r="AF5" s="73">
        <v>0</v>
      </c>
      <c r="AG5" s="73">
        <v>0</v>
      </c>
      <c r="AH5" s="85"/>
      <c r="AI5" s="73">
        <v>550</v>
      </c>
      <c r="AJ5" s="73">
        <v>0</v>
      </c>
      <c r="AK5" s="73">
        <v>100</v>
      </c>
      <c r="AL5" s="613">
        <v>0</v>
      </c>
      <c r="AM5" s="86">
        <f t="shared" ref="AM5:AM48" si="2">V5</f>
        <v>0</v>
      </c>
      <c r="AN5" s="612">
        <f t="shared" ref="AN5:AN50" si="3">SUM(AD5:AM5)</f>
        <v>4650</v>
      </c>
      <c r="AO5" s="73">
        <f t="shared" ref="AO5:AO48" si="4">I5</f>
        <v>0</v>
      </c>
      <c r="AP5" s="93">
        <f t="shared" ref="AP5:AP48" si="5">AD5/F5*AO5</f>
        <v>0</v>
      </c>
      <c r="AQ5" s="73">
        <f t="shared" ref="AQ5:AQ47" si="6">(G5*2)</f>
        <v>0</v>
      </c>
      <c r="AR5" s="73"/>
      <c r="AS5" s="616">
        <v>549.9</v>
      </c>
      <c r="AT5" s="94"/>
      <c r="AU5" s="58">
        <f t="shared" ref="AU5:AU21" si="7">SUM(AP5:AT5)</f>
        <v>549.9</v>
      </c>
      <c r="AV5" s="58">
        <f t="shared" ref="AV5:AV49" si="8">AN5-AU5</f>
        <v>4100.1</v>
      </c>
      <c r="AW5" s="93" t="s">
        <v>108</v>
      </c>
    </row>
    <row r="6" s="3" customFormat="1" ht="30" customHeight="1" spans="1:49">
      <c r="A6" s="240">
        <f t="shared" si="0"/>
        <v>3</v>
      </c>
      <c r="B6" s="571" t="s">
        <v>109</v>
      </c>
      <c r="C6" s="176" t="s">
        <v>110</v>
      </c>
      <c r="D6" s="568">
        <v>45582</v>
      </c>
      <c r="E6" s="20" t="s">
        <v>49</v>
      </c>
      <c r="F6" s="111">
        <v>16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51" t="s">
        <v>111</v>
      </c>
      <c r="R6" s="22">
        <v>0</v>
      </c>
      <c r="S6" s="22">
        <v>0</v>
      </c>
      <c r="T6" s="22">
        <v>0</v>
      </c>
      <c r="U6" s="594"/>
      <c r="V6" s="56"/>
      <c r="W6" s="593">
        <f>270*16</f>
        <v>4320</v>
      </c>
      <c r="X6" s="74"/>
      <c r="Y6" s="74"/>
      <c r="Z6" s="74"/>
      <c r="AA6" s="74"/>
      <c r="AB6" s="74"/>
      <c r="AC6" s="74"/>
      <c r="AD6" s="607">
        <f t="shared" si="1"/>
        <v>4320</v>
      </c>
      <c r="AE6" s="73"/>
      <c r="AF6" s="73">
        <v>0</v>
      </c>
      <c r="AG6" s="73">
        <v>0</v>
      </c>
      <c r="AH6" s="85">
        <f t="shared" ref="AH6:AH48" si="9">L6</f>
        <v>0</v>
      </c>
      <c r="AI6" s="73">
        <f t="shared" ref="AI6:AI48" si="10">T6</f>
        <v>0</v>
      </c>
      <c r="AJ6" s="73">
        <v>0</v>
      </c>
      <c r="AK6" s="73">
        <v>0</v>
      </c>
      <c r="AL6" s="613">
        <v>0</v>
      </c>
      <c r="AM6" s="86">
        <f t="shared" si="2"/>
        <v>0</v>
      </c>
      <c r="AN6" s="612">
        <f t="shared" si="3"/>
        <v>4320</v>
      </c>
      <c r="AO6" s="73">
        <f t="shared" si="4"/>
        <v>0</v>
      </c>
      <c r="AP6" s="93">
        <f t="shared" si="5"/>
        <v>0</v>
      </c>
      <c r="AQ6" s="73">
        <f t="shared" si="6"/>
        <v>0</v>
      </c>
      <c r="AR6" s="73"/>
      <c r="AS6" s="73"/>
      <c r="AT6" s="94"/>
      <c r="AU6" s="58">
        <f t="shared" si="7"/>
        <v>0</v>
      </c>
      <c r="AV6" s="58">
        <f t="shared" si="8"/>
        <v>4320</v>
      </c>
      <c r="AW6" s="93" t="s">
        <v>111</v>
      </c>
    </row>
    <row r="7" s="3" customFormat="1" ht="30" customHeight="1" spans="1:49">
      <c r="A7" s="240">
        <f t="shared" si="0"/>
        <v>4</v>
      </c>
      <c r="B7" s="571" t="s">
        <v>112</v>
      </c>
      <c r="C7" s="176" t="s">
        <v>110</v>
      </c>
      <c r="D7" s="568">
        <v>45582</v>
      </c>
      <c r="E7" s="20" t="s">
        <v>49</v>
      </c>
      <c r="F7" s="111">
        <v>15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51" t="s">
        <v>113</v>
      </c>
      <c r="R7" s="22">
        <v>0</v>
      </c>
      <c r="S7" s="22">
        <v>0</v>
      </c>
      <c r="T7" s="22">
        <v>0</v>
      </c>
      <c r="U7" s="594"/>
      <c r="V7" s="56"/>
      <c r="W7" s="593">
        <f>270*15</f>
        <v>4050</v>
      </c>
      <c r="X7" s="74"/>
      <c r="Y7" s="74"/>
      <c r="Z7" s="74"/>
      <c r="AA7" s="74"/>
      <c r="AB7" s="74"/>
      <c r="AC7" s="74"/>
      <c r="AD7" s="607">
        <f t="shared" si="1"/>
        <v>4050</v>
      </c>
      <c r="AE7" s="73"/>
      <c r="AF7" s="73">
        <v>0</v>
      </c>
      <c r="AG7" s="73">
        <v>0</v>
      </c>
      <c r="AH7" s="85">
        <f t="shared" si="9"/>
        <v>0</v>
      </c>
      <c r="AI7" s="73">
        <f t="shared" si="10"/>
        <v>0</v>
      </c>
      <c r="AJ7" s="73">
        <v>0</v>
      </c>
      <c r="AK7" s="73">
        <v>0</v>
      </c>
      <c r="AL7" s="613">
        <v>0</v>
      </c>
      <c r="AM7" s="86">
        <f t="shared" si="2"/>
        <v>0</v>
      </c>
      <c r="AN7" s="612">
        <f t="shared" si="3"/>
        <v>4050</v>
      </c>
      <c r="AO7" s="73">
        <f t="shared" si="4"/>
        <v>0</v>
      </c>
      <c r="AP7" s="93">
        <f t="shared" si="5"/>
        <v>0</v>
      </c>
      <c r="AQ7" s="73">
        <f t="shared" si="6"/>
        <v>0</v>
      </c>
      <c r="AR7" s="73"/>
      <c r="AS7" s="73"/>
      <c r="AT7" s="73"/>
      <c r="AU7" s="58">
        <f t="shared" si="7"/>
        <v>0</v>
      </c>
      <c r="AV7" s="58">
        <f t="shared" si="8"/>
        <v>4050</v>
      </c>
      <c r="AW7" s="93" t="s">
        <v>113</v>
      </c>
    </row>
    <row r="8" s="3" customFormat="1" ht="30" customHeight="1" spans="1:49">
      <c r="A8" s="240">
        <f t="shared" si="0"/>
        <v>5</v>
      </c>
      <c r="B8" s="572" t="s">
        <v>114</v>
      </c>
      <c r="C8" s="57" t="s">
        <v>115</v>
      </c>
      <c r="D8" s="568">
        <v>45581</v>
      </c>
      <c r="E8" s="20" t="s">
        <v>49</v>
      </c>
      <c r="F8" s="21">
        <v>31</v>
      </c>
      <c r="G8" s="22">
        <v>0</v>
      </c>
      <c r="H8" s="22">
        <v>0</v>
      </c>
      <c r="I8" s="22"/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46" t="s">
        <v>116</v>
      </c>
      <c r="R8" s="22"/>
      <c r="S8" s="22">
        <v>0</v>
      </c>
      <c r="T8" s="22">
        <v>0</v>
      </c>
      <c r="U8" s="55"/>
      <c r="V8" s="56"/>
      <c r="W8" s="593">
        <v>2000</v>
      </c>
      <c r="X8" s="74">
        <v>600</v>
      </c>
      <c r="Y8" s="74">
        <v>300</v>
      </c>
      <c r="Z8" s="74">
        <v>200</v>
      </c>
      <c r="AA8" s="74">
        <v>200</v>
      </c>
      <c r="AB8" s="74">
        <v>100</v>
      </c>
      <c r="AC8" s="74">
        <v>100</v>
      </c>
      <c r="AD8" s="607">
        <f t="shared" si="1"/>
        <v>3500</v>
      </c>
      <c r="AE8" s="73">
        <v>42.3</v>
      </c>
      <c r="AF8" s="73"/>
      <c r="AG8" s="73">
        <v>0</v>
      </c>
      <c r="AH8" s="85">
        <f t="shared" si="9"/>
        <v>0</v>
      </c>
      <c r="AI8" s="73">
        <f t="shared" si="10"/>
        <v>0</v>
      </c>
      <c r="AJ8" s="73">
        <v>0</v>
      </c>
      <c r="AK8" s="73">
        <v>0</v>
      </c>
      <c r="AL8" s="73">
        <v>0</v>
      </c>
      <c r="AM8" s="86">
        <f t="shared" si="2"/>
        <v>0</v>
      </c>
      <c r="AN8" s="612">
        <f t="shared" si="3"/>
        <v>3542.3</v>
      </c>
      <c r="AO8" s="73">
        <f t="shared" si="4"/>
        <v>0</v>
      </c>
      <c r="AP8" s="93">
        <f t="shared" si="5"/>
        <v>0</v>
      </c>
      <c r="AQ8" s="73">
        <f t="shared" si="6"/>
        <v>0</v>
      </c>
      <c r="AR8" s="73"/>
      <c r="AS8" s="73"/>
      <c r="AT8" s="73"/>
      <c r="AU8" s="58">
        <f t="shared" si="7"/>
        <v>0</v>
      </c>
      <c r="AV8" s="58">
        <f t="shared" si="8"/>
        <v>3542.3</v>
      </c>
      <c r="AW8" s="93" t="s">
        <v>116</v>
      </c>
    </row>
    <row r="9" s="3" customFormat="1" ht="30" customHeight="1" spans="1:49">
      <c r="A9" s="240">
        <f t="shared" si="0"/>
        <v>6</v>
      </c>
      <c r="B9" s="572" t="s">
        <v>117</v>
      </c>
      <c r="C9" s="57" t="s">
        <v>115</v>
      </c>
      <c r="D9" s="568">
        <v>45581</v>
      </c>
      <c r="E9" s="20" t="s">
        <v>49</v>
      </c>
      <c r="F9" s="21">
        <v>31</v>
      </c>
      <c r="G9" s="22">
        <v>0</v>
      </c>
      <c r="H9" s="22">
        <v>0</v>
      </c>
      <c r="I9" s="22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46" t="s">
        <v>116</v>
      </c>
      <c r="R9" s="22"/>
      <c r="S9" s="22">
        <v>0</v>
      </c>
      <c r="T9" s="22">
        <v>0</v>
      </c>
      <c r="U9" s="55"/>
      <c r="V9" s="56"/>
      <c r="W9" s="593">
        <v>2000</v>
      </c>
      <c r="X9" s="74">
        <v>600</v>
      </c>
      <c r="Y9" s="74">
        <v>300</v>
      </c>
      <c r="Z9" s="74">
        <v>200</v>
      </c>
      <c r="AA9" s="74">
        <v>200</v>
      </c>
      <c r="AB9" s="74">
        <v>100</v>
      </c>
      <c r="AC9" s="74">
        <v>100</v>
      </c>
      <c r="AD9" s="607">
        <f t="shared" si="1"/>
        <v>3500</v>
      </c>
      <c r="AE9" s="73">
        <v>42.3</v>
      </c>
      <c r="AF9" s="73"/>
      <c r="AG9" s="73">
        <v>0</v>
      </c>
      <c r="AH9" s="85">
        <f t="shared" si="9"/>
        <v>0</v>
      </c>
      <c r="AI9" s="73">
        <f t="shared" si="10"/>
        <v>0</v>
      </c>
      <c r="AJ9" s="73">
        <v>0</v>
      </c>
      <c r="AK9" s="73">
        <v>0</v>
      </c>
      <c r="AL9" s="73">
        <v>0</v>
      </c>
      <c r="AM9" s="86">
        <f t="shared" si="2"/>
        <v>0</v>
      </c>
      <c r="AN9" s="612">
        <f t="shared" si="3"/>
        <v>3542.3</v>
      </c>
      <c r="AO9" s="73">
        <f t="shared" si="4"/>
        <v>0</v>
      </c>
      <c r="AP9" s="93">
        <f t="shared" si="5"/>
        <v>0</v>
      </c>
      <c r="AQ9" s="73">
        <f t="shared" si="6"/>
        <v>0</v>
      </c>
      <c r="AR9" s="73"/>
      <c r="AS9" s="73">
        <v>0</v>
      </c>
      <c r="AT9" s="94"/>
      <c r="AU9" s="58">
        <f t="shared" si="7"/>
        <v>0</v>
      </c>
      <c r="AV9" s="58">
        <f t="shared" si="8"/>
        <v>3542.3</v>
      </c>
      <c r="AW9" s="93" t="s">
        <v>116</v>
      </c>
    </row>
    <row r="10" s="3" customFormat="1" ht="30" customHeight="1" spans="1:49">
      <c r="A10" s="240">
        <f t="shared" si="0"/>
        <v>7</v>
      </c>
      <c r="B10" s="572" t="s">
        <v>118</v>
      </c>
      <c r="C10" s="57" t="s">
        <v>115</v>
      </c>
      <c r="D10" s="568">
        <v>45581</v>
      </c>
      <c r="E10" s="20" t="s">
        <v>49</v>
      </c>
      <c r="F10" s="21">
        <v>31</v>
      </c>
      <c r="G10" s="22">
        <v>0</v>
      </c>
      <c r="H10" s="22">
        <v>0</v>
      </c>
      <c r="I10" s="22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46" t="s">
        <v>119</v>
      </c>
      <c r="R10" s="22"/>
      <c r="S10" s="22">
        <v>0</v>
      </c>
      <c r="T10" s="22">
        <v>0</v>
      </c>
      <c r="U10" s="55"/>
      <c r="V10" s="56"/>
      <c r="W10" s="593">
        <v>2000</v>
      </c>
      <c r="X10" s="74">
        <v>600</v>
      </c>
      <c r="Y10" s="74">
        <v>300</v>
      </c>
      <c r="Z10" s="74">
        <v>200</v>
      </c>
      <c r="AA10" s="74">
        <v>200</v>
      </c>
      <c r="AB10" s="74">
        <v>100</v>
      </c>
      <c r="AC10" s="74">
        <v>100</v>
      </c>
      <c r="AD10" s="607">
        <f t="shared" si="1"/>
        <v>3500</v>
      </c>
      <c r="AE10" s="73">
        <v>45.5</v>
      </c>
      <c r="AF10" s="73"/>
      <c r="AG10" s="73">
        <v>0</v>
      </c>
      <c r="AH10" s="85">
        <f t="shared" si="9"/>
        <v>0</v>
      </c>
      <c r="AI10" s="73">
        <f t="shared" si="10"/>
        <v>0</v>
      </c>
      <c r="AJ10" s="73">
        <v>0</v>
      </c>
      <c r="AK10" s="73">
        <v>0</v>
      </c>
      <c r="AL10" s="73">
        <v>0</v>
      </c>
      <c r="AM10" s="86">
        <f t="shared" si="2"/>
        <v>0</v>
      </c>
      <c r="AN10" s="612">
        <f t="shared" si="3"/>
        <v>3545.5</v>
      </c>
      <c r="AO10" s="73">
        <f t="shared" si="4"/>
        <v>0</v>
      </c>
      <c r="AP10" s="93">
        <f t="shared" si="5"/>
        <v>0</v>
      </c>
      <c r="AQ10" s="73">
        <f t="shared" si="6"/>
        <v>0</v>
      </c>
      <c r="AR10" s="73"/>
      <c r="AS10" s="73">
        <v>0</v>
      </c>
      <c r="AT10" s="94"/>
      <c r="AU10" s="58">
        <f t="shared" si="7"/>
        <v>0</v>
      </c>
      <c r="AV10" s="58">
        <f t="shared" si="8"/>
        <v>3545.5</v>
      </c>
      <c r="AW10" s="93" t="s">
        <v>119</v>
      </c>
    </row>
    <row r="11" s="3" customFormat="1" ht="30" customHeight="1" spans="1:49">
      <c r="A11" s="240">
        <f t="shared" si="0"/>
        <v>8</v>
      </c>
      <c r="B11" s="572" t="s">
        <v>120</v>
      </c>
      <c r="C11" s="57" t="s">
        <v>115</v>
      </c>
      <c r="D11" s="568">
        <v>45581</v>
      </c>
      <c r="E11" s="20" t="s">
        <v>49</v>
      </c>
      <c r="F11" s="21">
        <v>31</v>
      </c>
      <c r="G11" s="22">
        <v>0</v>
      </c>
      <c r="H11" s="22">
        <v>0</v>
      </c>
      <c r="I11" s="22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62" t="s">
        <v>121</v>
      </c>
      <c r="R11" s="22"/>
      <c r="S11" s="22">
        <v>0</v>
      </c>
      <c r="T11" s="22">
        <v>0</v>
      </c>
      <c r="U11" s="60"/>
      <c r="V11" s="56"/>
      <c r="W11" s="593">
        <v>2000</v>
      </c>
      <c r="X11" s="74">
        <v>600</v>
      </c>
      <c r="Y11" s="74">
        <v>300</v>
      </c>
      <c r="Z11" s="74">
        <v>200</v>
      </c>
      <c r="AA11" s="74">
        <v>200</v>
      </c>
      <c r="AB11" s="74">
        <v>100</v>
      </c>
      <c r="AC11" s="74">
        <v>100</v>
      </c>
      <c r="AD11" s="607">
        <f t="shared" si="1"/>
        <v>3500</v>
      </c>
      <c r="AE11" s="73">
        <v>112.9</v>
      </c>
      <c r="AF11" s="73">
        <v>1500</v>
      </c>
      <c r="AG11" s="73">
        <v>0</v>
      </c>
      <c r="AH11" s="85">
        <f t="shared" si="9"/>
        <v>0</v>
      </c>
      <c r="AI11" s="73">
        <f t="shared" si="10"/>
        <v>0</v>
      </c>
      <c r="AJ11" s="73">
        <v>0</v>
      </c>
      <c r="AK11" s="73">
        <v>0</v>
      </c>
      <c r="AL11" s="73">
        <v>0</v>
      </c>
      <c r="AM11" s="86">
        <f t="shared" si="2"/>
        <v>0</v>
      </c>
      <c r="AN11" s="612">
        <f t="shared" si="3"/>
        <v>5112.9</v>
      </c>
      <c r="AO11" s="73">
        <f t="shared" si="4"/>
        <v>0</v>
      </c>
      <c r="AP11" s="93">
        <f t="shared" si="5"/>
        <v>0</v>
      </c>
      <c r="AQ11" s="73">
        <f t="shared" si="6"/>
        <v>0</v>
      </c>
      <c r="AR11" s="73"/>
      <c r="AS11" s="73">
        <v>0</v>
      </c>
      <c r="AT11" s="73"/>
      <c r="AU11" s="58">
        <f t="shared" si="7"/>
        <v>0</v>
      </c>
      <c r="AV11" s="58">
        <f t="shared" si="8"/>
        <v>5112.9</v>
      </c>
      <c r="AW11" s="93" t="s">
        <v>121</v>
      </c>
    </row>
    <row r="12" s="3" customFormat="1" ht="30" customHeight="1" spans="1:49">
      <c r="A12" s="240">
        <f t="shared" si="0"/>
        <v>9</v>
      </c>
      <c r="B12" s="572" t="s">
        <v>122</v>
      </c>
      <c r="C12" s="57" t="s">
        <v>115</v>
      </c>
      <c r="D12" s="568">
        <v>45581</v>
      </c>
      <c r="E12" s="20" t="s">
        <v>49</v>
      </c>
      <c r="F12" s="21">
        <v>31</v>
      </c>
      <c r="G12" s="22">
        <v>0</v>
      </c>
      <c r="H12" s="22">
        <v>0</v>
      </c>
      <c r="I12" s="22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46" t="s">
        <v>123</v>
      </c>
      <c r="R12" s="22"/>
      <c r="S12" s="22">
        <v>0</v>
      </c>
      <c r="T12" s="22">
        <v>0</v>
      </c>
      <c r="U12" s="55"/>
      <c r="V12" s="56"/>
      <c r="W12" s="593">
        <v>2000</v>
      </c>
      <c r="X12" s="74">
        <v>600</v>
      </c>
      <c r="Y12" s="74">
        <v>300</v>
      </c>
      <c r="Z12" s="74">
        <v>200</v>
      </c>
      <c r="AA12" s="74">
        <v>200</v>
      </c>
      <c r="AB12" s="74">
        <v>100</v>
      </c>
      <c r="AC12" s="74">
        <v>100</v>
      </c>
      <c r="AD12" s="607">
        <f t="shared" si="1"/>
        <v>3500</v>
      </c>
      <c r="AE12" s="73">
        <v>112.9</v>
      </c>
      <c r="AF12" s="73"/>
      <c r="AG12" s="73">
        <v>0</v>
      </c>
      <c r="AH12" s="85">
        <f t="shared" si="9"/>
        <v>0</v>
      </c>
      <c r="AI12" s="73">
        <f t="shared" si="10"/>
        <v>0</v>
      </c>
      <c r="AJ12" s="73">
        <v>0</v>
      </c>
      <c r="AK12" s="73">
        <v>0</v>
      </c>
      <c r="AL12" s="73">
        <v>0</v>
      </c>
      <c r="AM12" s="86">
        <f t="shared" si="2"/>
        <v>0</v>
      </c>
      <c r="AN12" s="612">
        <f t="shared" si="3"/>
        <v>3612.9</v>
      </c>
      <c r="AO12" s="73">
        <f t="shared" si="4"/>
        <v>0</v>
      </c>
      <c r="AP12" s="93">
        <f t="shared" si="5"/>
        <v>0</v>
      </c>
      <c r="AQ12" s="73">
        <f t="shared" si="6"/>
        <v>0</v>
      </c>
      <c r="AR12" s="73"/>
      <c r="AS12" s="73">
        <v>0</v>
      </c>
      <c r="AT12" s="73"/>
      <c r="AU12" s="58">
        <f t="shared" si="7"/>
        <v>0</v>
      </c>
      <c r="AV12" s="58">
        <f t="shared" si="8"/>
        <v>3612.9</v>
      </c>
      <c r="AW12" s="93" t="s">
        <v>123</v>
      </c>
    </row>
    <row r="13" s="3" customFormat="1" ht="30" customHeight="1" spans="1:49">
      <c r="A13" s="240">
        <f t="shared" si="0"/>
        <v>10</v>
      </c>
      <c r="B13" s="572" t="s">
        <v>124</v>
      </c>
      <c r="C13" s="57" t="s">
        <v>115</v>
      </c>
      <c r="D13" s="568">
        <v>45583</v>
      </c>
      <c r="E13" s="20" t="s">
        <v>49</v>
      </c>
      <c r="F13" s="21">
        <v>31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46" t="s">
        <v>116</v>
      </c>
      <c r="R13" s="22"/>
      <c r="S13" s="22">
        <v>0</v>
      </c>
      <c r="T13" s="22">
        <v>0</v>
      </c>
      <c r="U13" s="55"/>
      <c r="V13" s="56"/>
      <c r="W13" s="593">
        <v>2000</v>
      </c>
      <c r="X13" s="74">
        <v>600</v>
      </c>
      <c r="Y13" s="74">
        <v>300</v>
      </c>
      <c r="Z13" s="74">
        <v>200</v>
      </c>
      <c r="AA13" s="74">
        <v>200</v>
      </c>
      <c r="AB13" s="74">
        <v>100</v>
      </c>
      <c r="AC13" s="74">
        <v>100</v>
      </c>
      <c r="AD13" s="607">
        <f t="shared" si="1"/>
        <v>3500</v>
      </c>
      <c r="AE13" s="73">
        <v>42.3</v>
      </c>
      <c r="AF13" s="73"/>
      <c r="AG13" s="73">
        <v>0</v>
      </c>
      <c r="AH13" s="85">
        <f t="shared" si="9"/>
        <v>0</v>
      </c>
      <c r="AI13" s="73">
        <f t="shared" si="10"/>
        <v>0</v>
      </c>
      <c r="AJ13" s="73">
        <v>0</v>
      </c>
      <c r="AK13" s="73">
        <v>0</v>
      </c>
      <c r="AL13" s="73">
        <v>0</v>
      </c>
      <c r="AM13" s="86">
        <f t="shared" si="2"/>
        <v>0</v>
      </c>
      <c r="AN13" s="612">
        <f t="shared" si="3"/>
        <v>3542.3</v>
      </c>
      <c r="AO13" s="73">
        <f t="shared" si="4"/>
        <v>0</v>
      </c>
      <c r="AP13" s="93">
        <f t="shared" si="5"/>
        <v>0</v>
      </c>
      <c r="AQ13" s="73">
        <f t="shared" si="6"/>
        <v>0</v>
      </c>
      <c r="AR13" s="73"/>
      <c r="AS13" s="73">
        <v>0</v>
      </c>
      <c r="AT13" s="94"/>
      <c r="AU13" s="58">
        <f t="shared" si="7"/>
        <v>0</v>
      </c>
      <c r="AV13" s="58">
        <f t="shared" si="8"/>
        <v>3542.3</v>
      </c>
      <c r="AW13" s="93" t="s">
        <v>116</v>
      </c>
    </row>
    <row r="14" s="3" customFormat="1" ht="30" customHeight="1" spans="1:49">
      <c r="A14" s="240">
        <f t="shared" si="0"/>
        <v>11</v>
      </c>
      <c r="B14" s="572" t="s">
        <v>125</v>
      </c>
      <c r="C14" s="57" t="s">
        <v>115</v>
      </c>
      <c r="D14" s="568">
        <v>45583</v>
      </c>
      <c r="E14" s="20" t="s">
        <v>49</v>
      </c>
      <c r="F14" s="21">
        <v>31</v>
      </c>
      <c r="G14" s="22">
        <v>0</v>
      </c>
      <c r="H14" s="22">
        <v>0</v>
      </c>
      <c r="I14" s="22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63"/>
      <c r="R14" s="22"/>
      <c r="S14" s="22">
        <v>0</v>
      </c>
      <c r="T14" s="22">
        <v>0</v>
      </c>
      <c r="U14" s="55"/>
      <c r="V14" s="56"/>
      <c r="W14" s="593">
        <v>2000</v>
      </c>
      <c r="X14" s="74">
        <v>600</v>
      </c>
      <c r="Y14" s="74">
        <v>300</v>
      </c>
      <c r="Z14" s="74">
        <v>200</v>
      </c>
      <c r="AA14" s="74">
        <v>200</v>
      </c>
      <c r="AB14" s="74">
        <v>100</v>
      </c>
      <c r="AC14" s="74">
        <v>100</v>
      </c>
      <c r="AD14" s="607">
        <f t="shared" si="1"/>
        <v>3500</v>
      </c>
      <c r="AE14" s="73"/>
      <c r="AF14" s="73"/>
      <c r="AG14" s="73">
        <v>0</v>
      </c>
      <c r="AH14" s="85">
        <f t="shared" si="9"/>
        <v>0</v>
      </c>
      <c r="AI14" s="73">
        <f t="shared" si="10"/>
        <v>0</v>
      </c>
      <c r="AJ14" s="73">
        <v>0</v>
      </c>
      <c r="AK14" s="73">
        <v>0</v>
      </c>
      <c r="AL14" s="73">
        <v>0</v>
      </c>
      <c r="AM14" s="86">
        <f t="shared" si="2"/>
        <v>0</v>
      </c>
      <c r="AN14" s="612">
        <f t="shared" si="3"/>
        <v>3500</v>
      </c>
      <c r="AO14" s="73">
        <f t="shared" si="4"/>
        <v>0</v>
      </c>
      <c r="AP14" s="93">
        <f t="shared" si="5"/>
        <v>0</v>
      </c>
      <c r="AQ14" s="73">
        <f t="shared" si="6"/>
        <v>0</v>
      </c>
      <c r="AR14" s="73"/>
      <c r="AS14" s="73">
        <v>0</v>
      </c>
      <c r="AT14" s="73">
        <v>0</v>
      </c>
      <c r="AU14" s="58">
        <f t="shared" si="7"/>
        <v>0</v>
      </c>
      <c r="AV14" s="58">
        <f t="shared" si="8"/>
        <v>3500</v>
      </c>
      <c r="AW14" s="93">
        <v>0</v>
      </c>
    </row>
    <row r="15" s="3" customFormat="1" ht="30" customHeight="1" spans="1:49">
      <c r="A15" s="240">
        <f t="shared" si="0"/>
        <v>12</v>
      </c>
      <c r="B15" s="572" t="s">
        <v>126</v>
      </c>
      <c r="C15" s="57" t="s">
        <v>115</v>
      </c>
      <c r="D15" s="568">
        <v>45583</v>
      </c>
      <c r="E15" s="20" t="s">
        <v>49</v>
      </c>
      <c r="F15" s="21">
        <v>31</v>
      </c>
      <c r="G15" s="22">
        <v>0</v>
      </c>
      <c r="H15" s="22">
        <v>0</v>
      </c>
      <c r="I15" s="22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46"/>
      <c r="R15" s="22"/>
      <c r="S15" s="22">
        <v>0</v>
      </c>
      <c r="T15" s="22">
        <v>0</v>
      </c>
      <c r="U15" s="55"/>
      <c r="V15" s="56"/>
      <c r="W15" s="593">
        <v>1500</v>
      </c>
      <c r="X15" s="74">
        <v>600</v>
      </c>
      <c r="Y15" s="74">
        <v>300</v>
      </c>
      <c r="Z15" s="74">
        <v>200</v>
      </c>
      <c r="AA15" s="74">
        <v>200</v>
      </c>
      <c r="AB15" s="74">
        <v>100</v>
      </c>
      <c r="AC15" s="74">
        <v>600</v>
      </c>
      <c r="AD15" s="607">
        <f t="shared" si="1"/>
        <v>3500</v>
      </c>
      <c r="AE15" s="73"/>
      <c r="AF15" s="73"/>
      <c r="AG15" s="73">
        <v>0</v>
      </c>
      <c r="AH15" s="85">
        <f t="shared" si="9"/>
        <v>0</v>
      </c>
      <c r="AI15" s="73">
        <f t="shared" si="10"/>
        <v>0</v>
      </c>
      <c r="AJ15" s="73">
        <v>0</v>
      </c>
      <c r="AK15" s="73">
        <v>0</v>
      </c>
      <c r="AL15" s="73">
        <v>0</v>
      </c>
      <c r="AM15" s="86">
        <f t="shared" si="2"/>
        <v>0</v>
      </c>
      <c r="AN15" s="612">
        <f t="shared" si="3"/>
        <v>3500</v>
      </c>
      <c r="AO15" s="73">
        <f t="shared" si="4"/>
        <v>0</v>
      </c>
      <c r="AP15" s="93">
        <f t="shared" si="5"/>
        <v>0</v>
      </c>
      <c r="AQ15" s="73">
        <f t="shared" si="6"/>
        <v>0</v>
      </c>
      <c r="AR15" s="73"/>
      <c r="AS15" s="73">
        <v>0</v>
      </c>
      <c r="AT15" s="73">
        <v>0</v>
      </c>
      <c r="AU15" s="58">
        <f t="shared" si="7"/>
        <v>0</v>
      </c>
      <c r="AV15" s="58">
        <f t="shared" si="8"/>
        <v>3500</v>
      </c>
      <c r="AW15" s="93">
        <v>0</v>
      </c>
    </row>
    <row r="16" s="3" customFormat="1" ht="30" customHeight="1" spans="1:49">
      <c r="A16" s="240">
        <f t="shared" si="0"/>
        <v>13</v>
      </c>
      <c r="B16" s="572" t="s">
        <v>127</v>
      </c>
      <c r="C16" s="57" t="s">
        <v>115</v>
      </c>
      <c r="D16" s="568">
        <v>45583</v>
      </c>
      <c r="E16" s="20" t="s">
        <v>49</v>
      </c>
      <c r="F16" s="21">
        <v>31</v>
      </c>
      <c r="G16" s="22">
        <v>0</v>
      </c>
      <c r="H16" s="22">
        <v>0</v>
      </c>
      <c r="I16" s="22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46" t="s">
        <v>116</v>
      </c>
      <c r="R16" s="22"/>
      <c r="S16" s="22">
        <v>0</v>
      </c>
      <c r="T16" s="22">
        <v>0</v>
      </c>
      <c r="U16" s="55"/>
      <c r="V16" s="56"/>
      <c r="W16" s="593">
        <v>1500</v>
      </c>
      <c r="X16" s="74">
        <v>600</v>
      </c>
      <c r="Y16" s="74">
        <v>300</v>
      </c>
      <c r="Z16" s="74">
        <v>200</v>
      </c>
      <c r="AA16" s="74">
        <v>200</v>
      </c>
      <c r="AB16" s="74">
        <v>100</v>
      </c>
      <c r="AC16" s="74">
        <v>600</v>
      </c>
      <c r="AD16" s="607">
        <f t="shared" si="1"/>
        <v>3500</v>
      </c>
      <c r="AE16" s="73">
        <v>42.3</v>
      </c>
      <c r="AF16" s="73"/>
      <c r="AG16" s="73">
        <v>0</v>
      </c>
      <c r="AH16" s="85">
        <f t="shared" si="9"/>
        <v>0</v>
      </c>
      <c r="AI16" s="73">
        <f t="shared" si="10"/>
        <v>0</v>
      </c>
      <c r="AJ16" s="73">
        <v>0</v>
      </c>
      <c r="AK16" s="73">
        <v>0</v>
      </c>
      <c r="AL16" s="73">
        <v>0</v>
      </c>
      <c r="AM16" s="86">
        <f t="shared" si="2"/>
        <v>0</v>
      </c>
      <c r="AN16" s="612">
        <f t="shared" si="3"/>
        <v>3542.3</v>
      </c>
      <c r="AO16" s="73">
        <f t="shared" si="4"/>
        <v>0</v>
      </c>
      <c r="AP16" s="93">
        <f t="shared" si="5"/>
        <v>0</v>
      </c>
      <c r="AQ16" s="73">
        <f t="shared" si="6"/>
        <v>0</v>
      </c>
      <c r="AR16" s="73"/>
      <c r="AS16" s="73">
        <v>0</v>
      </c>
      <c r="AT16" s="94">
        <v>0</v>
      </c>
      <c r="AU16" s="58">
        <f t="shared" si="7"/>
        <v>0</v>
      </c>
      <c r="AV16" s="58">
        <f t="shared" si="8"/>
        <v>3542.3</v>
      </c>
      <c r="AW16" s="93" t="s">
        <v>116</v>
      </c>
    </row>
    <row r="17" s="3" customFormat="1" ht="30" customHeight="1" spans="1:49">
      <c r="A17" s="240">
        <f t="shared" si="0"/>
        <v>14</v>
      </c>
      <c r="B17" s="572" t="s">
        <v>128</v>
      </c>
      <c r="C17" s="57" t="s">
        <v>115</v>
      </c>
      <c r="D17" s="568">
        <v>45581</v>
      </c>
      <c r="E17" s="20" t="s">
        <v>49</v>
      </c>
      <c r="F17" s="21">
        <v>31</v>
      </c>
      <c r="G17" s="22">
        <v>0</v>
      </c>
      <c r="H17" s="22">
        <v>0</v>
      </c>
      <c r="I17" s="22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63" t="s">
        <v>129</v>
      </c>
      <c r="R17" s="22"/>
      <c r="S17" s="22">
        <v>0</v>
      </c>
      <c r="T17" s="22">
        <v>0</v>
      </c>
      <c r="U17" s="55"/>
      <c r="V17" s="56"/>
      <c r="W17" s="593">
        <v>2000</v>
      </c>
      <c r="X17" s="74">
        <v>600</v>
      </c>
      <c r="Y17" s="74">
        <v>300</v>
      </c>
      <c r="Z17" s="74">
        <v>200</v>
      </c>
      <c r="AA17" s="74">
        <v>200</v>
      </c>
      <c r="AB17" s="74">
        <v>100</v>
      </c>
      <c r="AC17" s="74">
        <v>100</v>
      </c>
      <c r="AD17" s="607">
        <f t="shared" si="1"/>
        <v>3500</v>
      </c>
      <c r="AE17" s="73">
        <v>169.3</v>
      </c>
      <c r="AF17" s="73"/>
      <c r="AG17" s="73">
        <v>0</v>
      </c>
      <c r="AH17" s="85">
        <f t="shared" si="9"/>
        <v>0</v>
      </c>
      <c r="AI17" s="73">
        <f t="shared" si="10"/>
        <v>0</v>
      </c>
      <c r="AJ17" s="73">
        <v>0</v>
      </c>
      <c r="AK17" s="73">
        <v>0</v>
      </c>
      <c r="AL17" s="73">
        <v>0</v>
      </c>
      <c r="AM17" s="86">
        <f t="shared" si="2"/>
        <v>0</v>
      </c>
      <c r="AN17" s="612">
        <f t="shared" si="3"/>
        <v>3669.3</v>
      </c>
      <c r="AO17" s="73">
        <f t="shared" si="4"/>
        <v>0</v>
      </c>
      <c r="AP17" s="93">
        <f t="shared" si="5"/>
        <v>0</v>
      </c>
      <c r="AQ17" s="73">
        <f t="shared" si="6"/>
        <v>0</v>
      </c>
      <c r="AR17" s="73"/>
      <c r="AS17" s="73">
        <v>0</v>
      </c>
      <c r="AT17" s="73">
        <v>0</v>
      </c>
      <c r="AU17" s="58">
        <f t="shared" si="7"/>
        <v>0</v>
      </c>
      <c r="AV17" s="58">
        <f t="shared" si="8"/>
        <v>3669.3</v>
      </c>
      <c r="AW17" s="93" t="s">
        <v>129</v>
      </c>
    </row>
    <row r="18" s="3" customFormat="1" ht="30" customHeight="1" spans="1:49">
      <c r="A18" s="240">
        <f t="shared" si="0"/>
        <v>15</v>
      </c>
      <c r="B18" s="572" t="s">
        <v>130</v>
      </c>
      <c r="C18" s="57" t="s">
        <v>115</v>
      </c>
      <c r="D18" s="568">
        <v>45581</v>
      </c>
      <c r="E18" s="20" t="s">
        <v>49</v>
      </c>
      <c r="F18" s="21">
        <v>31</v>
      </c>
      <c r="G18" s="22">
        <v>0</v>
      </c>
      <c r="H18" s="22">
        <v>0</v>
      </c>
      <c r="I18" s="22">
        <v>2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63" t="s">
        <v>131</v>
      </c>
      <c r="R18" s="22"/>
      <c r="S18" s="22">
        <v>0</v>
      </c>
      <c r="T18" s="22">
        <v>0</v>
      </c>
      <c r="U18" s="55"/>
      <c r="V18" s="56"/>
      <c r="W18" s="593">
        <v>2000</v>
      </c>
      <c r="X18" s="74">
        <v>600</v>
      </c>
      <c r="Y18" s="74">
        <v>300</v>
      </c>
      <c r="Z18" s="74">
        <v>200</v>
      </c>
      <c r="AA18" s="74">
        <v>200</v>
      </c>
      <c r="AB18" s="74">
        <v>100</v>
      </c>
      <c r="AC18" s="74">
        <v>100</v>
      </c>
      <c r="AD18" s="607">
        <f t="shared" si="1"/>
        <v>3500</v>
      </c>
      <c r="AE18" s="73"/>
      <c r="AF18" s="73"/>
      <c r="AG18" s="73">
        <v>0</v>
      </c>
      <c r="AH18" s="85">
        <f t="shared" si="9"/>
        <v>0</v>
      </c>
      <c r="AI18" s="73">
        <f t="shared" si="10"/>
        <v>0</v>
      </c>
      <c r="AJ18" s="73">
        <v>0</v>
      </c>
      <c r="AK18" s="73">
        <v>0</v>
      </c>
      <c r="AL18" s="73">
        <v>0</v>
      </c>
      <c r="AM18" s="86">
        <f t="shared" si="2"/>
        <v>0</v>
      </c>
      <c r="AN18" s="612">
        <f t="shared" si="3"/>
        <v>3500</v>
      </c>
      <c r="AO18" s="73">
        <f t="shared" si="4"/>
        <v>2</v>
      </c>
      <c r="AP18" s="93">
        <f t="shared" si="5"/>
        <v>225.806451612903</v>
      </c>
      <c r="AQ18" s="73">
        <f t="shared" si="6"/>
        <v>0</v>
      </c>
      <c r="AR18" s="73"/>
      <c r="AS18" s="73">
        <v>0</v>
      </c>
      <c r="AT18" s="73">
        <v>0</v>
      </c>
      <c r="AU18" s="58">
        <f t="shared" si="7"/>
        <v>225.806451612903</v>
      </c>
      <c r="AV18" s="58">
        <f t="shared" si="8"/>
        <v>3274.1935483871</v>
      </c>
      <c r="AW18" s="93" t="s">
        <v>131</v>
      </c>
    </row>
    <row r="19" s="3" customFormat="1" ht="30" customHeight="1" spans="1:49">
      <c r="A19" s="240">
        <f t="shared" si="0"/>
        <v>16</v>
      </c>
      <c r="B19" s="30" t="s">
        <v>132</v>
      </c>
      <c r="C19" s="57" t="s">
        <v>115</v>
      </c>
      <c r="D19" s="568">
        <v>45582</v>
      </c>
      <c r="E19" s="31" t="s">
        <v>107</v>
      </c>
      <c r="F19" s="21">
        <v>31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65" t="s">
        <v>133</v>
      </c>
      <c r="R19" s="22"/>
      <c r="S19" s="22">
        <v>0</v>
      </c>
      <c r="T19" s="22">
        <v>0</v>
      </c>
      <c r="U19" s="55"/>
      <c r="V19" s="56"/>
      <c r="W19" s="593">
        <v>2000</v>
      </c>
      <c r="X19" s="74">
        <v>600</v>
      </c>
      <c r="Y19" s="74">
        <v>300</v>
      </c>
      <c r="Z19" s="74">
        <v>200</v>
      </c>
      <c r="AA19" s="74">
        <v>200</v>
      </c>
      <c r="AB19" s="74">
        <v>100</v>
      </c>
      <c r="AC19" s="74">
        <v>100</v>
      </c>
      <c r="AD19" s="607">
        <f t="shared" si="1"/>
        <v>3500</v>
      </c>
      <c r="AE19" s="73">
        <v>42.3</v>
      </c>
      <c r="AF19" s="73"/>
      <c r="AG19" s="73">
        <v>0</v>
      </c>
      <c r="AH19" s="85">
        <f t="shared" si="9"/>
        <v>0</v>
      </c>
      <c r="AI19" s="73">
        <f t="shared" si="10"/>
        <v>0</v>
      </c>
      <c r="AJ19" s="73">
        <v>0</v>
      </c>
      <c r="AK19" s="73">
        <v>0</v>
      </c>
      <c r="AL19" s="73">
        <v>0</v>
      </c>
      <c r="AM19" s="86">
        <f t="shared" si="2"/>
        <v>0</v>
      </c>
      <c r="AN19" s="612">
        <f t="shared" si="3"/>
        <v>3542.3</v>
      </c>
      <c r="AO19" s="73">
        <f t="shared" si="4"/>
        <v>0</v>
      </c>
      <c r="AP19" s="93">
        <f t="shared" si="5"/>
        <v>0</v>
      </c>
      <c r="AQ19" s="73">
        <f t="shared" si="6"/>
        <v>0</v>
      </c>
      <c r="AR19" s="73"/>
      <c r="AS19" s="73">
        <v>0</v>
      </c>
      <c r="AT19" s="73">
        <v>0</v>
      </c>
      <c r="AU19" s="58">
        <f t="shared" si="7"/>
        <v>0</v>
      </c>
      <c r="AV19" s="58">
        <f t="shared" si="8"/>
        <v>3542.3</v>
      </c>
      <c r="AW19" s="93" t="s">
        <v>133</v>
      </c>
    </row>
    <row r="20" s="3" customFormat="1" ht="30" customHeight="1" spans="1:49">
      <c r="A20" s="240">
        <f t="shared" si="0"/>
        <v>17</v>
      </c>
      <c r="B20" s="572" t="s">
        <v>134</v>
      </c>
      <c r="C20" s="57" t="s">
        <v>115</v>
      </c>
      <c r="D20" s="568">
        <v>45584</v>
      </c>
      <c r="E20" s="20" t="s">
        <v>49</v>
      </c>
      <c r="F20" s="21">
        <v>31</v>
      </c>
      <c r="G20" s="22">
        <v>0</v>
      </c>
      <c r="H20" s="22">
        <v>0</v>
      </c>
      <c r="I20" s="22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46" t="s">
        <v>116</v>
      </c>
      <c r="R20" s="22"/>
      <c r="S20" s="22">
        <v>0</v>
      </c>
      <c r="T20" s="22">
        <v>0</v>
      </c>
      <c r="U20" s="55"/>
      <c r="V20" s="56"/>
      <c r="W20" s="593">
        <v>1500</v>
      </c>
      <c r="X20" s="74">
        <v>1000</v>
      </c>
      <c r="Y20" s="74">
        <v>300</v>
      </c>
      <c r="Z20" s="74">
        <v>200</v>
      </c>
      <c r="AA20" s="74">
        <v>200</v>
      </c>
      <c r="AB20" s="74">
        <v>200</v>
      </c>
      <c r="AC20" s="74">
        <v>100</v>
      </c>
      <c r="AD20" s="607">
        <f t="shared" si="1"/>
        <v>3500</v>
      </c>
      <c r="AE20" s="73">
        <v>42.3</v>
      </c>
      <c r="AF20" s="73"/>
      <c r="AG20" s="73">
        <v>0</v>
      </c>
      <c r="AH20" s="85">
        <f t="shared" si="9"/>
        <v>0</v>
      </c>
      <c r="AI20" s="73">
        <f t="shared" si="10"/>
        <v>0</v>
      </c>
      <c r="AJ20" s="73">
        <v>0</v>
      </c>
      <c r="AK20" s="73">
        <v>0</v>
      </c>
      <c r="AL20" s="73">
        <v>0</v>
      </c>
      <c r="AM20" s="86">
        <f t="shared" si="2"/>
        <v>0</v>
      </c>
      <c r="AN20" s="612">
        <f t="shared" si="3"/>
        <v>3542.3</v>
      </c>
      <c r="AO20" s="73">
        <f t="shared" si="4"/>
        <v>0</v>
      </c>
      <c r="AP20" s="93">
        <f t="shared" si="5"/>
        <v>0</v>
      </c>
      <c r="AQ20" s="73">
        <f t="shared" si="6"/>
        <v>0</v>
      </c>
      <c r="AR20" s="73"/>
      <c r="AS20" s="73">
        <v>0</v>
      </c>
      <c r="AT20" s="94">
        <v>0</v>
      </c>
      <c r="AU20" s="58">
        <f t="shared" si="7"/>
        <v>0</v>
      </c>
      <c r="AV20" s="58">
        <f t="shared" si="8"/>
        <v>3542.3</v>
      </c>
      <c r="AW20" s="93" t="s">
        <v>116</v>
      </c>
    </row>
    <row r="21" s="3" customFormat="1" ht="30" customHeight="1" spans="1:49">
      <c r="A21" s="240">
        <f t="shared" si="0"/>
        <v>18</v>
      </c>
      <c r="B21" s="572" t="s">
        <v>135</v>
      </c>
      <c r="C21" s="57" t="s">
        <v>115</v>
      </c>
      <c r="D21" s="568">
        <v>45586</v>
      </c>
      <c r="E21" s="20" t="s">
        <v>49</v>
      </c>
      <c r="F21" s="21">
        <v>31</v>
      </c>
      <c r="G21" s="22">
        <v>0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595" t="s">
        <v>136</v>
      </c>
      <c r="R21" s="22"/>
      <c r="S21" s="22">
        <v>0</v>
      </c>
      <c r="T21" s="22">
        <v>0</v>
      </c>
      <c r="U21" s="55"/>
      <c r="V21" s="56"/>
      <c r="W21" s="593">
        <v>2000</v>
      </c>
      <c r="X21" s="74">
        <v>600</v>
      </c>
      <c r="Y21" s="74">
        <v>300</v>
      </c>
      <c r="Z21" s="74">
        <v>200</v>
      </c>
      <c r="AA21" s="74">
        <v>200</v>
      </c>
      <c r="AB21" s="74">
        <v>100</v>
      </c>
      <c r="AC21" s="74">
        <v>100</v>
      </c>
      <c r="AD21" s="607">
        <f t="shared" si="1"/>
        <v>3500</v>
      </c>
      <c r="AE21" s="73"/>
      <c r="AF21" s="73"/>
      <c r="AG21" s="73">
        <v>0</v>
      </c>
      <c r="AH21" s="85">
        <f t="shared" si="9"/>
        <v>0</v>
      </c>
      <c r="AI21" s="73">
        <f t="shared" si="10"/>
        <v>0</v>
      </c>
      <c r="AJ21" s="73">
        <v>0</v>
      </c>
      <c r="AK21" s="73">
        <v>0</v>
      </c>
      <c r="AL21" s="73">
        <v>0</v>
      </c>
      <c r="AM21" s="86">
        <f t="shared" si="2"/>
        <v>0</v>
      </c>
      <c r="AN21" s="612">
        <f t="shared" si="3"/>
        <v>3500</v>
      </c>
      <c r="AO21" s="73">
        <f t="shared" si="4"/>
        <v>1</v>
      </c>
      <c r="AP21" s="93">
        <f t="shared" si="5"/>
        <v>112.903225806452</v>
      </c>
      <c r="AQ21" s="73">
        <f t="shared" si="6"/>
        <v>0</v>
      </c>
      <c r="AR21" s="73"/>
      <c r="AS21" s="73">
        <v>0</v>
      </c>
      <c r="AT21" s="73">
        <v>0</v>
      </c>
      <c r="AU21" s="58">
        <f t="shared" si="7"/>
        <v>112.903225806452</v>
      </c>
      <c r="AV21" s="58">
        <f t="shared" si="8"/>
        <v>3387.09677419355</v>
      </c>
      <c r="AW21" s="93" t="s">
        <v>136</v>
      </c>
    </row>
    <row r="22" s="3" customFormat="1" ht="30" customHeight="1" spans="1:49">
      <c r="A22" s="240">
        <f t="shared" si="0"/>
        <v>19</v>
      </c>
      <c r="B22" s="572" t="s">
        <v>137</v>
      </c>
      <c r="C22" s="57" t="s">
        <v>115</v>
      </c>
      <c r="D22" s="568">
        <v>45588</v>
      </c>
      <c r="E22" s="20" t="s">
        <v>49</v>
      </c>
      <c r="F22" s="21">
        <v>31</v>
      </c>
      <c r="G22" s="22">
        <v>0</v>
      </c>
      <c r="H22" s="22">
        <v>0</v>
      </c>
      <c r="I22" s="22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46" t="s">
        <v>116</v>
      </c>
      <c r="R22" s="22"/>
      <c r="S22" s="22">
        <v>0</v>
      </c>
      <c r="T22" s="22">
        <v>0</v>
      </c>
      <c r="U22" s="55"/>
      <c r="V22" s="56"/>
      <c r="W22" s="593">
        <v>2000</v>
      </c>
      <c r="X22" s="74">
        <v>600</v>
      </c>
      <c r="Y22" s="74">
        <v>300</v>
      </c>
      <c r="Z22" s="74">
        <v>200</v>
      </c>
      <c r="AA22" s="74">
        <v>200</v>
      </c>
      <c r="AB22" s="74">
        <v>100</v>
      </c>
      <c r="AC22" s="74">
        <v>100</v>
      </c>
      <c r="AD22" s="607">
        <f t="shared" si="1"/>
        <v>3500</v>
      </c>
      <c r="AE22" s="73">
        <v>42.3</v>
      </c>
      <c r="AF22" s="73"/>
      <c r="AG22" s="73">
        <v>0</v>
      </c>
      <c r="AH22" s="85">
        <f t="shared" si="9"/>
        <v>0</v>
      </c>
      <c r="AI22" s="73">
        <f t="shared" si="10"/>
        <v>0</v>
      </c>
      <c r="AJ22" s="73">
        <v>0</v>
      </c>
      <c r="AK22" s="73">
        <v>0</v>
      </c>
      <c r="AL22" s="73">
        <v>0</v>
      </c>
      <c r="AM22" s="86">
        <f t="shared" si="2"/>
        <v>0</v>
      </c>
      <c r="AN22" s="612">
        <f t="shared" si="3"/>
        <v>3542.3</v>
      </c>
      <c r="AO22" s="73">
        <f t="shared" si="4"/>
        <v>0</v>
      </c>
      <c r="AP22" s="93">
        <f t="shared" si="5"/>
        <v>0</v>
      </c>
      <c r="AQ22" s="73">
        <f t="shared" si="6"/>
        <v>0</v>
      </c>
      <c r="AR22" s="73"/>
      <c r="AS22" s="73">
        <v>0</v>
      </c>
      <c r="AT22" s="94">
        <v>0</v>
      </c>
      <c r="AU22" s="58">
        <f t="shared" ref="AU22:AU49" si="11">SUM(AP22:AT22)</f>
        <v>0</v>
      </c>
      <c r="AV22" s="58">
        <f t="shared" si="8"/>
        <v>3542.3</v>
      </c>
      <c r="AW22" s="93" t="s">
        <v>116</v>
      </c>
    </row>
    <row r="23" s="561" customFormat="1" ht="30" customHeight="1" spans="1:49">
      <c r="A23" s="573">
        <f t="shared" si="0"/>
        <v>20</v>
      </c>
      <c r="B23" s="574" t="s">
        <v>138</v>
      </c>
      <c r="C23" s="567" t="s">
        <v>115</v>
      </c>
      <c r="D23" s="568">
        <v>45596</v>
      </c>
      <c r="E23" s="20" t="s">
        <v>49</v>
      </c>
      <c r="F23" s="569">
        <v>31</v>
      </c>
      <c r="G23" s="570">
        <v>0</v>
      </c>
      <c r="H23" s="570">
        <v>0</v>
      </c>
      <c r="I23" s="570">
        <v>1</v>
      </c>
      <c r="J23" s="570">
        <v>0</v>
      </c>
      <c r="K23" s="570">
        <v>0</v>
      </c>
      <c r="L23" s="570">
        <v>0</v>
      </c>
      <c r="M23" s="570">
        <v>0</v>
      </c>
      <c r="N23" s="570">
        <v>0</v>
      </c>
      <c r="O23" s="570">
        <v>0</v>
      </c>
      <c r="P23" s="570">
        <v>0</v>
      </c>
      <c r="Q23" s="350" t="s">
        <v>139</v>
      </c>
      <c r="R23" s="570"/>
      <c r="S23" s="570">
        <v>0</v>
      </c>
      <c r="T23" s="570">
        <v>0</v>
      </c>
      <c r="U23" s="590"/>
      <c r="V23" s="591"/>
      <c r="W23" s="593">
        <v>2000</v>
      </c>
      <c r="X23" s="593">
        <v>600</v>
      </c>
      <c r="Y23" s="593">
        <v>300</v>
      </c>
      <c r="Z23" s="593">
        <v>200</v>
      </c>
      <c r="AA23" s="593">
        <v>200</v>
      </c>
      <c r="AB23" s="593">
        <v>100</v>
      </c>
      <c r="AC23" s="593">
        <v>100</v>
      </c>
      <c r="AD23" s="605">
        <f t="shared" si="1"/>
        <v>3500</v>
      </c>
      <c r="AE23" s="58">
        <v>100</v>
      </c>
      <c r="AF23" s="58"/>
      <c r="AG23" s="58">
        <v>0</v>
      </c>
      <c r="AH23" s="610">
        <f t="shared" si="9"/>
        <v>0</v>
      </c>
      <c r="AI23" s="58">
        <f t="shared" si="10"/>
        <v>0</v>
      </c>
      <c r="AJ23" s="58">
        <v>0</v>
      </c>
      <c r="AK23" s="58">
        <v>0</v>
      </c>
      <c r="AL23" s="58">
        <v>0</v>
      </c>
      <c r="AM23" s="612">
        <f t="shared" si="2"/>
        <v>0</v>
      </c>
      <c r="AN23" s="612">
        <f t="shared" si="3"/>
        <v>3600</v>
      </c>
      <c r="AO23" s="58">
        <f t="shared" si="4"/>
        <v>1</v>
      </c>
      <c r="AP23" s="589">
        <f t="shared" si="5"/>
        <v>112.903225806452</v>
      </c>
      <c r="AQ23" s="58">
        <f t="shared" si="6"/>
        <v>0</v>
      </c>
      <c r="AR23" s="58"/>
      <c r="AS23" s="58">
        <v>0</v>
      </c>
      <c r="AT23" s="58">
        <v>0</v>
      </c>
      <c r="AU23" s="58">
        <f t="shared" si="11"/>
        <v>112.903225806452</v>
      </c>
      <c r="AV23" s="58">
        <f t="shared" si="8"/>
        <v>3487.09677419355</v>
      </c>
      <c r="AW23" s="93" t="s">
        <v>139</v>
      </c>
    </row>
    <row r="24" s="3" customFormat="1" ht="30" customHeight="1" spans="1:49">
      <c r="A24" s="240">
        <f t="shared" si="0"/>
        <v>21</v>
      </c>
      <c r="B24" s="575" t="s">
        <v>140</v>
      </c>
      <c r="C24" s="57" t="s">
        <v>115</v>
      </c>
      <c r="D24" s="568">
        <v>45596</v>
      </c>
      <c r="E24" s="20" t="s">
        <v>49</v>
      </c>
      <c r="F24" s="21">
        <v>31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63"/>
      <c r="R24" s="22"/>
      <c r="S24" s="22">
        <v>0</v>
      </c>
      <c r="T24" s="22">
        <v>0</v>
      </c>
      <c r="U24" s="55"/>
      <c r="V24" s="56"/>
      <c r="W24" s="593">
        <v>2000</v>
      </c>
      <c r="X24" s="74">
        <v>600</v>
      </c>
      <c r="Y24" s="74">
        <v>300</v>
      </c>
      <c r="Z24" s="74">
        <v>200</v>
      </c>
      <c r="AA24" s="74">
        <v>200</v>
      </c>
      <c r="AB24" s="74">
        <v>100</v>
      </c>
      <c r="AC24" s="74">
        <v>100</v>
      </c>
      <c r="AD24" s="607">
        <f t="shared" si="1"/>
        <v>3500</v>
      </c>
      <c r="AE24" s="73">
        <v>0</v>
      </c>
      <c r="AF24" s="73"/>
      <c r="AG24" s="73">
        <v>0</v>
      </c>
      <c r="AH24" s="85">
        <f t="shared" si="9"/>
        <v>0</v>
      </c>
      <c r="AI24" s="73">
        <f t="shared" si="10"/>
        <v>0</v>
      </c>
      <c r="AJ24" s="73">
        <v>0</v>
      </c>
      <c r="AK24" s="73">
        <v>0</v>
      </c>
      <c r="AL24" s="73">
        <v>0</v>
      </c>
      <c r="AM24" s="86">
        <f t="shared" si="2"/>
        <v>0</v>
      </c>
      <c r="AN24" s="612">
        <f t="shared" si="3"/>
        <v>3500</v>
      </c>
      <c r="AO24" s="73">
        <f t="shared" si="4"/>
        <v>0</v>
      </c>
      <c r="AP24" s="93">
        <f t="shared" si="5"/>
        <v>0</v>
      </c>
      <c r="AQ24" s="73">
        <f t="shared" si="6"/>
        <v>0</v>
      </c>
      <c r="AR24" s="73"/>
      <c r="AS24" s="73">
        <v>0</v>
      </c>
      <c r="AT24" s="94">
        <v>0</v>
      </c>
      <c r="AU24" s="58">
        <f t="shared" si="11"/>
        <v>0</v>
      </c>
      <c r="AV24" s="58">
        <f t="shared" si="8"/>
        <v>3500</v>
      </c>
      <c r="AW24" s="93">
        <v>0</v>
      </c>
    </row>
    <row r="25" s="3" customFormat="1" ht="30" customHeight="1" spans="1:49">
      <c r="A25" s="240">
        <f t="shared" si="0"/>
        <v>22</v>
      </c>
      <c r="B25" s="575" t="s">
        <v>141</v>
      </c>
      <c r="C25" s="57" t="s">
        <v>115</v>
      </c>
      <c r="D25" s="568">
        <v>45596</v>
      </c>
      <c r="E25" s="20" t="s">
        <v>49</v>
      </c>
      <c r="F25" s="21">
        <v>31</v>
      </c>
      <c r="G25" s="22">
        <v>0</v>
      </c>
      <c r="H25" s="22">
        <v>0</v>
      </c>
      <c r="I25" s="22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46"/>
      <c r="R25" s="22"/>
      <c r="S25" s="22">
        <v>0</v>
      </c>
      <c r="T25" s="22">
        <v>0</v>
      </c>
      <c r="U25" s="55"/>
      <c r="V25" s="56"/>
      <c r="W25" s="593">
        <v>2000</v>
      </c>
      <c r="X25" s="74">
        <v>600</v>
      </c>
      <c r="Y25" s="74">
        <v>300</v>
      </c>
      <c r="Z25" s="74">
        <v>200</v>
      </c>
      <c r="AA25" s="74">
        <v>200</v>
      </c>
      <c r="AB25" s="74">
        <v>100</v>
      </c>
      <c r="AC25" s="74">
        <v>100</v>
      </c>
      <c r="AD25" s="607">
        <f t="shared" si="1"/>
        <v>3500</v>
      </c>
      <c r="AE25" s="73">
        <v>0</v>
      </c>
      <c r="AF25" s="73"/>
      <c r="AG25" s="73">
        <v>0</v>
      </c>
      <c r="AH25" s="85">
        <f t="shared" si="9"/>
        <v>0</v>
      </c>
      <c r="AI25" s="73">
        <f t="shared" si="10"/>
        <v>0</v>
      </c>
      <c r="AJ25" s="73">
        <v>0</v>
      </c>
      <c r="AK25" s="73">
        <v>0</v>
      </c>
      <c r="AL25" s="73">
        <v>0</v>
      </c>
      <c r="AM25" s="86">
        <f t="shared" si="2"/>
        <v>0</v>
      </c>
      <c r="AN25" s="612">
        <f t="shared" si="3"/>
        <v>3500</v>
      </c>
      <c r="AO25" s="73">
        <f t="shared" si="4"/>
        <v>0</v>
      </c>
      <c r="AP25" s="93">
        <f t="shared" si="5"/>
        <v>0</v>
      </c>
      <c r="AQ25" s="73">
        <f t="shared" si="6"/>
        <v>0</v>
      </c>
      <c r="AR25" s="73"/>
      <c r="AS25" s="73">
        <v>0</v>
      </c>
      <c r="AT25" s="73">
        <v>0</v>
      </c>
      <c r="AU25" s="58">
        <f t="shared" si="11"/>
        <v>0</v>
      </c>
      <c r="AV25" s="58">
        <f t="shared" si="8"/>
        <v>3500</v>
      </c>
      <c r="AW25" s="93">
        <v>0</v>
      </c>
    </row>
    <row r="26" s="3" customFormat="1" ht="30" customHeight="1" spans="1:49">
      <c r="A26" s="240">
        <f t="shared" si="0"/>
        <v>23</v>
      </c>
      <c r="B26" s="575" t="s">
        <v>142</v>
      </c>
      <c r="C26" s="57" t="s">
        <v>115</v>
      </c>
      <c r="D26" s="568">
        <v>45597</v>
      </c>
      <c r="E26" s="20" t="s">
        <v>49</v>
      </c>
      <c r="F26" s="21">
        <v>31</v>
      </c>
      <c r="G26" s="22">
        <v>0</v>
      </c>
      <c r="H26" s="22">
        <v>0</v>
      </c>
      <c r="I26" s="22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63"/>
      <c r="R26" s="22"/>
      <c r="S26" s="22">
        <v>0</v>
      </c>
      <c r="T26" s="22">
        <v>0</v>
      </c>
      <c r="U26" s="55"/>
      <c r="V26" s="56"/>
      <c r="W26" s="593">
        <v>2000</v>
      </c>
      <c r="X26" s="74">
        <v>600</v>
      </c>
      <c r="Y26" s="74">
        <v>300</v>
      </c>
      <c r="Z26" s="74">
        <v>200</v>
      </c>
      <c r="AA26" s="74">
        <v>200</v>
      </c>
      <c r="AB26" s="74">
        <v>100</v>
      </c>
      <c r="AC26" s="74">
        <v>100</v>
      </c>
      <c r="AD26" s="607">
        <f t="shared" si="1"/>
        <v>3500</v>
      </c>
      <c r="AE26" s="73">
        <v>0</v>
      </c>
      <c r="AF26" s="73"/>
      <c r="AG26" s="73">
        <v>0</v>
      </c>
      <c r="AH26" s="85">
        <f t="shared" si="9"/>
        <v>0</v>
      </c>
      <c r="AI26" s="73">
        <f t="shared" si="10"/>
        <v>0</v>
      </c>
      <c r="AJ26" s="73">
        <v>0</v>
      </c>
      <c r="AK26" s="73">
        <v>0</v>
      </c>
      <c r="AL26" s="73">
        <v>0</v>
      </c>
      <c r="AM26" s="86">
        <f t="shared" si="2"/>
        <v>0</v>
      </c>
      <c r="AN26" s="612">
        <f t="shared" si="3"/>
        <v>3500</v>
      </c>
      <c r="AO26" s="73">
        <f t="shared" si="4"/>
        <v>0</v>
      </c>
      <c r="AP26" s="93">
        <f t="shared" si="5"/>
        <v>0</v>
      </c>
      <c r="AQ26" s="73">
        <f t="shared" si="6"/>
        <v>0</v>
      </c>
      <c r="AR26" s="73"/>
      <c r="AS26" s="73">
        <v>0</v>
      </c>
      <c r="AT26" s="94">
        <v>0</v>
      </c>
      <c r="AU26" s="58">
        <f t="shared" si="11"/>
        <v>0</v>
      </c>
      <c r="AV26" s="58">
        <f t="shared" si="8"/>
        <v>3500</v>
      </c>
      <c r="AW26" s="93">
        <v>0</v>
      </c>
    </row>
    <row r="27" s="3" customFormat="1" ht="30" customHeight="1" spans="1:49">
      <c r="A27" s="240">
        <f t="shared" si="0"/>
        <v>24</v>
      </c>
      <c r="B27" s="576" t="s">
        <v>143</v>
      </c>
      <c r="C27" s="57" t="s">
        <v>115</v>
      </c>
      <c r="D27" s="568">
        <v>45598</v>
      </c>
      <c r="E27" s="20" t="s">
        <v>49</v>
      </c>
      <c r="F27" s="21">
        <v>31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46"/>
      <c r="R27" s="22"/>
      <c r="S27" s="22">
        <v>0</v>
      </c>
      <c r="T27" s="22">
        <v>0</v>
      </c>
      <c r="U27" s="55"/>
      <c r="V27" s="56"/>
      <c r="W27" s="593">
        <v>2000</v>
      </c>
      <c r="X27" s="74">
        <v>600</v>
      </c>
      <c r="Y27" s="74">
        <v>300</v>
      </c>
      <c r="Z27" s="74">
        <v>200</v>
      </c>
      <c r="AA27" s="74">
        <v>200</v>
      </c>
      <c r="AB27" s="74">
        <v>100</v>
      </c>
      <c r="AC27" s="74">
        <v>100</v>
      </c>
      <c r="AD27" s="607">
        <f t="shared" si="1"/>
        <v>3500</v>
      </c>
      <c r="AE27" s="73"/>
      <c r="AF27" s="73"/>
      <c r="AG27" s="73">
        <v>0</v>
      </c>
      <c r="AH27" s="85">
        <f t="shared" si="9"/>
        <v>0</v>
      </c>
      <c r="AI27" s="73">
        <f t="shared" si="10"/>
        <v>0</v>
      </c>
      <c r="AJ27" s="73">
        <v>0</v>
      </c>
      <c r="AK27" s="73">
        <v>0</v>
      </c>
      <c r="AL27" s="73">
        <v>0</v>
      </c>
      <c r="AM27" s="86">
        <f t="shared" si="2"/>
        <v>0</v>
      </c>
      <c r="AN27" s="612">
        <f t="shared" si="3"/>
        <v>3500</v>
      </c>
      <c r="AO27" s="73">
        <f t="shared" si="4"/>
        <v>0</v>
      </c>
      <c r="AP27" s="93">
        <f t="shared" si="5"/>
        <v>0</v>
      </c>
      <c r="AQ27" s="73">
        <f t="shared" si="6"/>
        <v>0</v>
      </c>
      <c r="AR27" s="73"/>
      <c r="AS27" s="73">
        <v>0</v>
      </c>
      <c r="AT27" s="94">
        <v>0</v>
      </c>
      <c r="AU27" s="58">
        <f t="shared" si="11"/>
        <v>0</v>
      </c>
      <c r="AV27" s="58">
        <f t="shared" si="8"/>
        <v>3500</v>
      </c>
      <c r="AW27" s="93">
        <v>0</v>
      </c>
    </row>
    <row r="28" s="3" customFormat="1" ht="30" customHeight="1" spans="1:49">
      <c r="A28" s="240">
        <f t="shared" si="0"/>
        <v>25</v>
      </c>
      <c r="B28" s="575" t="s">
        <v>144</v>
      </c>
      <c r="C28" s="57" t="s">
        <v>115</v>
      </c>
      <c r="D28" s="568">
        <v>45603</v>
      </c>
      <c r="E28" s="20" t="s">
        <v>49</v>
      </c>
      <c r="F28" s="21">
        <v>31</v>
      </c>
      <c r="G28" s="22">
        <v>0</v>
      </c>
      <c r="H28" s="22">
        <v>0</v>
      </c>
      <c r="I28" s="22">
        <v>0.5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51" t="s">
        <v>145</v>
      </c>
      <c r="R28" s="22"/>
      <c r="S28" s="22">
        <v>0</v>
      </c>
      <c r="T28" s="22">
        <v>0</v>
      </c>
      <c r="U28" s="55"/>
      <c r="V28" s="56"/>
      <c r="W28" s="593">
        <v>2000</v>
      </c>
      <c r="X28" s="74">
        <v>600</v>
      </c>
      <c r="Y28" s="74">
        <v>300</v>
      </c>
      <c r="Z28" s="74">
        <v>200</v>
      </c>
      <c r="AA28" s="74">
        <v>200</v>
      </c>
      <c r="AB28" s="74">
        <v>100</v>
      </c>
      <c r="AC28" s="74">
        <v>100</v>
      </c>
      <c r="AD28" s="607">
        <f t="shared" si="1"/>
        <v>3500</v>
      </c>
      <c r="AE28" s="73">
        <v>42.3</v>
      </c>
      <c r="AF28" s="73"/>
      <c r="AG28" s="73">
        <v>0</v>
      </c>
      <c r="AH28" s="85">
        <f t="shared" si="9"/>
        <v>0</v>
      </c>
      <c r="AI28" s="73">
        <f t="shared" si="10"/>
        <v>0</v>
      </c>
      <c r="AJ28" s="73">
        <v>0</v>
      </c>
      <c r="AK28" s="73">
        <v>0</v>
      </c>
      <c r="AL28" s="73">
        <v>0</v>
      </c>
      <c r="AM28" s="86">
        <f t="shared" si="2"/>
        <v>0</v>
      </c>
      <c r="AN28" s="612">
        <f t="shared" si="3"/>
        <v>3542.3</v>
      </c>
      <c r="AO28" s="73">
        <f t="shared" si="4"/>
        <v>0.5</v>
      </c>
      <c r="AP28" s="93">
        <f t="shared" si="5"/>
        <v>56.4516129032258</v>
      </c>
      <c r="AQ28" s="73">
        <f t="shared" si="6"/>
        <v>0</v>
      </c>
      <c r="AR28" s="73"/>
      <c r="AS28" s="73">
        <v>0</v>
      </c>
      <c r="AT28" s="73">
        <v>0</v>
      </c>
      <c r="AU28" s="58">
        <f t="shared" si="11"/>
        <v>56.4516129032258</v>
      </c>
      <c r="AV28" s="58">
        <f t="shared" si="8"/>
        <v>3485.84838709677</v>
      </c>
      <c r="AW28" s="93" t="s">
        <v>145</v>
      </c>
    </row>
    <row r="29" s="3" customFormat="1" ht="30" customHeight="1" spans="1:49">
      <c r="A29" s="240">
        <f t="shared" si="0"/>
        <v>26</v>
      </c>
      <c r="B29" s="572" t="s">
        <v>146</v>
      </c>
      <c r="C29" s="57" t="s">
        <v>115</v>
      </c>
      <c r="D29" s="568">
        <v>45620</v>
      </c>
      <c r="E29" s="20" t="s">
        <v>49</v>
      </c>
      <c r="F29" s="21">
        <v>31</v>
      </c>
      <c r="G29" s="22">
        <v>0</v>
      </c>
      <c r="H29" s="22">
        <v>0</v>
      </c>
      <c r="I29" s="22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596" t="s">
        <v>147</v>
      </c>
      <c r="R29" s="22"/>
      <c r="S29" s="22">
        <v>0</v>
      </c>
      <c r="T29" s="22">
        <v>0</v>
      </c>
      <c r="U29" s="55"/>
      <c r="V29" s="56"/>
      <c r="W29" s="593">
        <v>2000</v>
      </c>
      <c r="X29" s="74">
        <v>600</v>
      </c>
      <c r="Y29" s="74">
        <v>300</v>
      </c>
      <c r="Z29" s="74">
        <v>200</v>
      </c>
      <c r="AA29" s="74">
        <v>200</v>
      </c>
      <c r="AB29" s="74">
        <v>100</v>
      </c>
      <c r="AC29" s="74">
        <v>100</v>
      </c>
      <c r="AD29" s="607">
        <f t="shared" si="1"/>
        <v>3500</v>
      </c>
      <c r="AE29" s="73"/>
      <c r="AF29" s="73">
        <v>2500</v>
      </c>
      <c r="AG29" s="73">
        <v>0</v>
      </c>
      <c r="AH29" s="85">
        <f t="shared" si="9"/>
        <v>0</v>
      </c>
      <c r="AI29" s="73">
        <f t="shared" si="10"/>
        <v>0</v>
      </c>
      <c r="AJ29" s="73">
        <v>0</v>
      </c>
      <c r="AK29" s="73">
        <v>0</v>
      </c>
      <c r="AL29" s="73">
        <v>0</v>
      </c>
      <c r="AM29" s="86">
        <f t="shared" si="2"/>
        <v>0</v>
      </c>
      <c r="AN29" s="612">
        <f t="shared" si="3"/>
        <v>6000</v>
      </c>
      <c r="AO29" s="73">
        <f t="shared" si="4"/>
        <v>0</v>
      </c>
      <c r="AP29" s="93">
        <f t="shared" si="5"/>
        <v>0</v>
      </c>
      <c r="AQ29" s="73">
        <f t="shared" si="6"/>
        <v>0</v>
      </c>
      <c r="AR29" s="73"/>
      <c r="AS29" s="73">
        <v>0</v>
      </c>
      <c r="AT29" s="94">
        <v>31.31</v>
      </c>
      <c r="AU29" s="58">
        <f t="shared" si="11"/>
        <v>31.31</v>
      </c>
      <c r="AV29" s="58">
        <f t="shared" si="8"/>
        <v>5968.69</v>
      </c>
      <c r="AW29" s="93" t="s">
        <v>147</v>
      </c>
    </row>
    <row r="30" s="3" customFormat="1" ht="30" customHeight="1" spans="1:49">
      <c r="A30" s="240">
        <f t="shared" si="0"/>
        <v>27</v>
      </c>
      <c r="B30" s="577" t="s">
        <v>148</v>
      </c>
      <c r="C30" s="57" t="s">
        <v>115</v>
      </c>
      <c r="D30" s="568">
        <v>45620</v>
      </c>
      <c r="E30" s="20" t="s">
        <v>49</v>
      </c>
      <c r="F30" s="21">
        <v>31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63"/>
      <c r="R30" s="22"/>
      <c r="S30" s="22">
        <v>0</v>
      </c>
      <c r="T30" s="22">
        <v>0</v>
      </c>
      <c r="U30" s="55"/>
      <c r="V30" s="56"/>
      <c r="W30" s="593">
        <v>2000</v>
      </c>
      <c r="X30" s="74">
        <v>600</v>
      </c>
      <c r="Y30" s="74">
        <v>300</v>
      </c>
      <c r="Z30" s="74">
        <v>200</v>
      </c>
      <c r="AA30" s="74">
        <v>200</v>
      </c>
      <c r="AB30" s="74">
        <v>100</v>
      </c>
      <c r="AC30" s="74">
        <v>100</v>
      </c>
      <c r="AD30" s="607">
        <f t="shared" si="1"/>
        <v>3500</v>
      </c>
      <c r="AE30" s="73"/>
      <c r="AF30" s="73"/>
      <c r="AG30" s="73">
        <v>0</v>
      </c>
      <c r="AH30" s="85">
        <f t="shared" si="9"/>
        <v>0</v>
      </c>
      <c r="AI30" s="73">
        <f t="shared" si="10"/>
        <v>0</v>
      </c>
      <c r="AJ30" s="73">
        <v>0</v>
      </c>
      <c r="AK30" s="73">
        <v>0</v>
      </c>
      <c r="AL30" s="73">
        <v>0</v>
      </c>
      <c r="AM30" s="86">
        <f t="shared" si="2"/>
        <v>0</v>
      </c>
      <c r="AN30" s="612">
        <f t="shared" si="3"/>
        <v>3500</v>
      </c>
      <c r="AO30" s="73">
        <f t="shared" si="4"/>
        <v>0</v>
      </c>
      <c r="AP30" s="93">
        <f t="shared" si="5"/>
        <v>0</v>
      </c>
      <c r="AQ30" s="73">
        <f t="shared" si="6"/>
        <v>0</v>
      </c>
      <c r="AR30" s="73"/>
      <c r="AS30" s="73">
        <v>0</v>
      </c>
      <c r="AT30" s="73">
        <v>0</v>
      </c>
      <c r="AU30" s="58">
        <f t="shared" si="11"/>
        <v>0</v>
      </c>
      <c r="AV30" s="58">
        <f t="shared" si="8"/>
        <v>3500</v>
      </c>
      <c r="AW30" s="93">
        <v>0</v>
      </c>
    </row>
    <row r="31" s="3" customFormat="1" ht="30" customHeight="1" spans="1:49">
      <c r="A31" s="240">
        <f t="shared" si="0"/>
        <v>28</v>
      </c>
      <c r="B31" s="572" t="s">
        <v>149</v>
      </c>
      <c r="C31" s="57" t="s">
        <v>115</v>
      </c>
      <c r="D31" s="568">
        <v>45620</v>
      </c>
      <c r="E31" s="20" t="s">
        <v>49</v>
      </c>
      <c r="F31" s="21">
        <v>31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63"/>
      <c r="R31" s="22"/>
      <c r="S31" s="22">
        <v>0</v>
      </c>
      <c r="T31" s="22">
        <v>0</v>
      </c>
      <c r="U31" s="55"/>
      <c r="V31" s="56"/>
      <c r="W31" s="593">
        <v>2000</v>
      </c>
      <c r="X31" s="74">
        <v>600</v>
      </c>
      <c r="Y31" s="74">
        <v>300</v>
      </c>
      <c r="Z31" s="74">
        <v>200</v>
      </c>
      <c r="AA31" s="74">
        <v>200</v>
      </c>
      <c r="AB31" s="74">
        <v>100</v>
      </c>
      <c r="AC31" s="74">
        <v>100</v>
      </c>
      <c r="AD31" s="607">
        <f t="shared" si="1"/>
        <v>3500</v>
      </c>
      <c r="AE31" s="73"/>
      <c r="AF31" s="73"/>
      <c r="AG31" s="73">
        <v>0</v>
      </c>
      <c r="AH31" s="85">
        <f t="shared" si="9"/>
        <v>0</v>
      </c>
      <c r="AI31" s="73">
        <f t="shared" si="10"/>
        <v>0</v>
      </c>
      <c r="AJ31" s="73">
        <v>0</v>
      </c>
      <c r="AK31" s="73">
        <v>0</v>
      </c>
      <c r="AL31" s="73">
        <v>0</v>
      </c>
      <c r="AM31" s="86">
        <f t="shared" si="2"/>
        <v>0</v>
      </c>
      <c r="AN31" s="612">
        <f t="shared" si="3"/>
        <v>3500</v>
      </c>
      <c r="AO31" s="73">
        <f t="shared" si="4"/>
        <v>0</v>
      </c>
      <c r="AP31" s="93">
        <f t="shared" si="5"/>
        <v>0</v>
      </c>
      <c r="AQ31" s="73">
        <f t="shared" si="6"/>
        <v>0</v>
      </c>
      <c r="AR31" s="73"/>
      <c r="AS31" s="73">
        <v>0</v>
      </c>
      <c r="AT31" s="94">
        <v>0</v>
      </c>
      <c r="AU31" s="58">
        <f t="shared" si="11"/>
        <v>0</v>
      </c>
      <c r="AV31" s="58">
        <f t="shared" si="8"/>
        <v>3500</v>
      </c>
      <c r="AW31" s="93">
        <v>0</v>
      </c>
    </row>
    <row r="32" s="3" customFormat="1" ht="30" customHeight="1" spans="1:49">
      <c r="A32" s="240">
        <f t="shared" si="0"/>
        <v>29</v>
      </c>
      <c r="B32" s="572" t="s">
        <v>150</v>
      </c>
      <c r="C32" s="57" t="s">
        <v>115</v>
      </c>
      <c r="D32" s="568">
        <v>45627</v>
      </c>
      <c r="E32" s="20" t="s">
        <v>49</v>
      </c>
      <c r="F32" s="21">
        <v>31</v>
      </c>
      <c r="G32" s="22">
        <v>0</v>
      </c>
      <c r="H32" s="22">
        <v>0</v>
      </c>
      <c r="I32" s="22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46" t="s">
        <v>116</v>
      </c>
      <c r="R32" s="22"/>
      <c r="S32" s="22">
        <v>0</v>
      </c>
      <c r="T32" s="22">
        <v>0</v>
      </c>
      <c r="U32" s="55"/>
      <c r="V32" s="56"/>
      <c r="W32" s="593">
        <v>2000</v>
      </c>
      <c r="X32" s="74">
        <v>600</v>
      </c>
      <c r="Y32" s="74">
        <v>300</v>
      </c>
      <c r="Z32" s="74">
        <v>200</v>
      </c>
      <c r="AA32" s="74">
        <v>200</v>
      </c>
      <c r="AB32" s="74">
        <v>100</v>
      </c>
      <c r="AC32" s="74">
        <v>100</v>
      </c>
      <c r="AD32" s="607">
        <f t="shared" si="1"/>
        <v>3500</v>
      </c>
      <c r="AE32" s="71">
        <v>42.3</v>
      </c>
      <c r="AF32" s="73"/>
      <c r="AG32" s="73">
        <v>0</v>
      </c>
      <c r="AH32" s="85">
        <f t="shared" si="9"/>
        <v>0</v>
      </c>
      <c r="AI32" s="73">
        <f t="shared" si="10"/>
        <v>0</v>
      </c>
      <c r="AJ32" s="73">
        <v>0</v>
      </c>
      <c r="AK32" s="73">
        <v>0</v>
      </c>
      <c r="AL32" s="73">
        <v>0</v>
      </c>
      <c r="AM32" s="86">
        <f t="shared" si="2"/>
        <v>0</v>
      </c>
      <c r="AN32" s="612">
        <f t="shared" si="3"/>
        <v>3542.3</v>
      </c>
      <c r="AO32" s="73">
        <f t="shared" si="4"/>
        <v>0</v>
      </c>
      <c r="AP32" s="93">
        <f t="shared" si="5"/>
        <v>0</v>
      </c>
      <c r="AQ32" s="73">
        <f t="shared" si="6"/>
        <v>0</v>
      </c>
      <c r="AR32" s="73"/>
      <c r="AS32" s="73">
        <v>0</v>
      </c>
      <c r="AT32" s="94">
        <v>0</v>
      </c>
      <c r="AU32" s="58">
        <f t="shared" si="11"/>
        <v>0</v>
      </c>
      <c r="AV32" s="58">
        <f t="shared" si="8"/>
        <v>3542.3</v>
      </c>
      <c r="AW32" s="93" t="s">
        <v>116</v>
      </c>
    </row>
    <row r="33" s="3" customFormat="1" ht="30" customHeight="1" spans="1:49">
      <c r="A33" s="240">
        <f t="shared" si="0"/>
        <v>30</v>
      </c>
      <c r="B33" s="572" t="s">
        <v>151</v>
      </c>
      <c r="C33" s="57" t="s">
        <v>115</v>
      </c>
      <c r="D33" s="568">
        <v>45631</v>
      </c>
      <c r="E33" s="20" t="s">
        <v>49</v>
      </c>
      <c r="F33" s="21">
        <v>31</v>
      </c>
      <c r="G33" s="22">
        <v>0</v>
      </c>
      <c r="H33" s="22">
        <v>0</v>
      </c>
      <c r="I33" s="22">
        <v>2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597" t="s">
        <v>152</v>
      </c>
      <c r="R33" s="22"/>
      <c r="S33" s="22">
        <v>0</v>
      </c>
      <c r="T33" s="22">
        <v>0</v>
      </c>
      <c r="U33" s="55"/>
      <c r="V33" s="56"/>
      <c r="W33" s="593">
        <v>2000</v>
      </c>
      <c r="X33" s="74">
        <v>600</v>
      </c>
      <c r="Y33" s="74">
        <v>300</v>
      </c>
      <c r="Z33" s="74">
        <v>200</v>
      </c>
      <c r="AA33" s="74">
        <v>200</v>
      </c>
      <c r="AB33" s="74">
        <v>100</v>
      </c>
      <c r="AC33" s="74">
        <v>100</v>
      </c>
      <c r="AD33" s="607">
        <f t="shared" si="1"/>
        <v>3500</v>
      </c>
      <c r="AE33" s="73"/>
      <c r="AF33" s="73">
        <v>1000</v>
      </c>
      <c r="AG33" s="73">
        <v>0</v>
      </c>
      <c r="AH33" s="85">
        <f t="shared" si="9"/>
        <v>0</v>
      </c>
      <c r="AI33" s="73">
        <f t="shared" si="10"/>
        <v>0</v>
      </c>
      <c r="AJ33" s="73">
        <v>0</v>
      </c>
      <c r="AK33" s="73">
        <v>0</v>
      </c>
      <c r="AL33" s="73">
        <v>0</v>
      </c>
      <c r="AM33" s="86">
        <f t="shared" si="2"/>
        <v>0</v>
      </c>
      <c r="AN33" s="612">
        <f t="shared" si="3"/>
        <v>4500</v>
      </c>
      <c r="AO33" s="73">
        <f t="shared" si="4"/>
        <v>2</v>
      </c>
      <c r="AP33" s="93">
        <f t="shared" si="5"/>
        <v>225.806451612903</v>
      </c>
      <c r="AQ33" s="73">
        <f t="shared" si="6"/>
        <v>0</v>
      </c>
      <c r="AR33" s="73"/>
      <c r="AS33" s="73">
        <v>0</v>
      </c>
      <c r="AT33" s="73">
        <v>0</v>
      </c>
      <c r="AU33" s="58">
        <f t="shared" si="11"/>
        <v>225.806451612903</v>
      </c>
      <c r="AV33" s="58">
        <f t="shared" si="8"/>
        <v>4274.1935483871</v>
      </c>
      <c r="AW33" s="93" t="s">
        <v>152</v>
      </c>
    </row>
    <row r="34" s="562" customFormat="1" ht="30" customHeight="1" spans="1:49">
      <c r="A34" s="240">
        <f t="shared" si="0"/>
        <v>31</v>
      </c>
      <c r="B34" s="572" t="s">
        <v>153</v>
      </c>
      <c r="C34" s="57" t="s">
        <v>115</v>
      </c>
      <c r="D34" s="568">
        <v>45633</v>
      </c>
      <c r="E34" s="20" t="s">
        <v>49</v>
      </c>
      <c r="F34" s="21">
        <v>31</v>
      </c>
      <c r="G34" s="22">
        <v>0</v>
      </c>
      <c r="H34" s="22">
        <v>0</v>
      </c>
      <c r="I34" s="22">
        <v>2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598" t="s">
        <v>154</v>
      </c>
      <c r="R34" s="22"/>
      <c r="S34" s="22">
        <v>0</v>
      </c>
      <c r="T34" s="22">
        <v>0</v>
      </c>
      <c r="U34" s="55"/>
      <c r="V34" s="407"/>
      <c r="W34" s="74">
        <v>2000</v>
      </c>
      <c r="X34" s="74">
        <v>600</v>
      </c>
      <c r="Y34" s="74">
        <v>300</v>
      </c>
      <c r="Z34" s="74">
        <v>200</v>
      </c>
      <c r="AA34" s="74">
        <v>200</v>
      </c>
      <c r="AB34" s="74">
        <v>100</v>
      </c>
      <c r="AC34" s="74">
        <v>100</v>
      </c>
      <c r="AD34" s="607">
        <f t="shared" si="1"/>
        <v>3500</v>
      </c>
      <c r="AE34" s="73"/>
      <c r="AF34" s="73"/>
      <c r="AG34" s="73">
        <v>0</v>
      </c>
      <c r="AH34" s="85">
        <f t="shared" si="9"/>
        <v>0</v>
      </c>
      <c r="AI34" s="73">
        <f t="shared" si="10"/>
        <v>0</v>
      </c>
      <c r="AJ34" s="73">
        <v>0</v>
      </c>
      <c r="AK34" s="73">
        <v>0</v>
      </c>
      <c r="AL34" s="73">
        <v>0</v>
      </c>
      <c r="AM34" s="86">
        <f t="shared" si="2"/>
        <v>0</v>
      </c>
      <c r="AN34" s="612">
        <f t="shared" si="3"/>
        <v>3500</v>
      </c>
      <c r="AO34" s="73">
        <f t="shared" si="4"/>
        <v>2</v>
      </c>
      <c r="AP34" s="93">
        <f t="shared" si="5"/>
        <v>225.806451612903</v>
      </c>
      <c r="AQ34" s="73">
        <f t="shared" si="6"/>
        <v>0</v>
      </c>
      <c r="AR34" s="73"/>
      <c r="AS34" s="614">
        <v>0</v>
      </c>
      <c r="AT34" s="614">
        <v>0</v>
      </c>
      <c r="AU34" s="58">
        <f t="shared" si="11"/>
        <v>225.806451612903</v>
      </c>
      <c r="AV34" s="58">
        <f t="shared" si="8"/>
        <v>3274.1935483871</v>
      </c>
      <c r="AW34" s="93" t="s">
        <v>154</v>
      </c>
    </row>
    <row r="35" s="562" customFormat="1" ht="30" customHeight="1" spans="1:49">
      <c r="A35" s="240">
        <f t="shared" si="0"/>
        <v>32</v>
      </c>
      <c r="B35" s="572" t="s">
        <v>155</v>
      </c>
      <c r="C35" s="57" t="s">
        <v>115</v>
      </c>
      <c r="D35" s="568">
        <v>45634</v>
      </c>
      <c r="E35" s="20" t="s">
        <v>49</v>
      </c>
      <c r="F35" s="21">
        <v>31</v>
      </c>
      <c r="G35" s="22">
        <v>0</v>
      </c>
      <c r="H35" s="22">
        <v>0</v>
      </c>
      <c r="I35" s="22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599"/>
      <c r="R35" s="22"/>
      <c r="S35" s="22">
        <v>0</v>
      </c>
      <c r="T35" s="22">
        <v>0</v>
      </c>
      <c r="U35" s="55"/>
      <c r="V35" s="407"/>
      <c r="W35" s="74">
        <v>2000</v>
      </c>
      <c r="X35" s="74">
        <v>600</v>
      </c>
      <c r="Y35" s="74">
        <v>300</v>
      </c>
      <c r="Z35" s="74">
        <v>200</v>
      </c>
      <c r="AA35" s="74">
        <v>200</v>
      </c>
      <c r="AB35" s="74">
        <v>100</v>
      </c>
      <c r="AC35" s="74">
        <v>100</v>
      </c>
      <c r="AD35" s="607">
        <f t="shared" si="1"/>
        <v>3500</v>
      </c>
      <c r="AE35" s="73">
        <v>0</v>
      </c>
      <c r="AF35" s="73"/>
      <c r="AG35" s="73">
        <v>0</v>
      </c>
      <c r="AH35" s="85">
        <f t="shared" si="9"/>
        <v>0</v>
      </c>
      <c r="AI35" s="73">
        <f t="shared" si="10"/>
        <v>0</v>
      </c>
      <c r="AJ35" s="73">
        <v>0</v>
      </c>
      <c r="AK35" s="73">
        <v>0</v>
      </c>
      <c r="AL35" s="73">
        <v>0</v>
      </c>
      <c r="AM35" s="86">
        <f t="shared" si="2"/>
        <v>0</v>
      </c>
      <c r="AN35" s="612">
        <f t="shared" si="3"/>
        <v>3500</v>
      </c>
      <c r="AO35" s="73">
        <f t="shared" si="4"/>
        <v>0</v>
      </c>
      <c r="AP35" s="93">
        <f t="shared" si="5"/>
        <v>0</v>
      </c>
      <c r="AQ35" s="73">
        <f t="shared" si="6"/>
        <v>0</v>
      </c>
      <c r="AR35" s="73"/>
      <c r="AS35" s="614">
        <v>0</v>
      </c>
      <c r="AT35" s="614">
        <v>0</v>
      </c>
      <c r="AU35" s="58">
        <f t="shared" si="11"/>
        <v>0</v>
      </c>
      <c r="AV35" s="58">
        <f t="shared" si="8"/>
        <v>3500</v>
      </c>
      <c r="AW35" s="93">
        <v>0</v>
      </c>
    </row>
    <row r="36" s="562" customFormat="1" ht="30" customHeight="1" spans="1:49">
      <c r="A36" s="240">
        <f t="shared" si="0"/>
        <v>33</v>
      </c>
      <c r="B36" s="578" t="s">
        <v>156</v>
      </c>
      <c r="C36" s="57" t="s">
        <v>115</v>
      </c>
      <c r="D36" s="579">
        <v>45635</v>
      </c>
      <c r="E36" s="20" t="s">
        <v>49</v>
      </c>
      <c r="F36" s="21">
        <v>31</v>
      </c>
      <c r="G36" s="22">
        <v>0</v>
      </c>
      <c r="H36" s="22">
        <v>0</v>
      </c>
      <c r="I36" s="22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599" t="s">
        <v>157</v>
      </c>
      <c r="R36" s="22"/>
      <c r="S36" s="22">
        <v>0</v>
      </c>
      <c r="T36" s="22">
        <v>0</v>
      </c>
      <c r="U36" s="55"/>
      <c r="V36" s="407"/>
      <c r="W36" s="74">
        <v>2000</v>
      </c>
      <c r="X36" s="74">
        <v>600</v>
      </c>
      <c r="Y36" s="74">
        <v>300</v>
      </c>
      <c r="Z36" s="74">
        <v>200</v>
      </c>
      <c r="AA36" s="74">
        <v>200</v>
      </c>
      <c r="AB36" s="74">
        <v>100</v>
      </c>
      <c r="AC36" s="74">
        <v>100</v>
      </c>
      <c r="AD36" s="607">
        <f t="shared" si="1"/>
        <v>3500</v>
      </c>
      <c r="AE36" s="73">
        <v>25</v>
      </c>
      <c r="AF36" s="73"/>
      <c r="AG36" s="73">
        <v>0</v>
      </c>
      <c r="AH36" s="85">
        <f t="shared" si="9"/>
        <v>0</v>
      </c>
      <c r="AI36" s="73">
        <f t="shared" si="10"/>
        <v>0</v>
      </c>
      <c r="AJ36" s="73">
        <v>0</v>
      </c>
      <c r="AK36" s="73">
        <v>0</v>
      </c>
      <c r="AL36" s="73">
        <v>0</v>
      </c>
      <c r="AM36" s="86">
        <f t="shared" si="2"/>
        <v>0</v>
      </c>
      <c r="AN36" s="612">
        <f t="shared" si="3"/>
        <v>3525</v>
      </c>
      <c r="AO36" s="73">
        <f t="shared" si="4"/>
        <v>0</v>
      </c>
      <c r="AP36" s="93">
        <f t="shared" si="5"/>
        <v>0</v>
      </c>
      <c r="AQ36" s="73">
        <f t="shared" si="6"/>
        <v>0</v>
      </c>
      <c r="AR36" s="73"/>
      <c r="AS36" s="614">
        <v>0</v>
      </c>
      <c r="AT36" s="614">
        <v>0</v>
      </c>
      <c r="AU36" s="58">
        <f t="shared" si="11"/>
        <v>0</v>
      </c>
      <c r="AV36" s="58">
        <f t="shared" si="8"/>
        <v>3525</v>
      </c>
      <c r="AW36" s="93" t="s">
        <v>157</v>
      </c>
    </row>
    <row r="37" s="563" customFormat="1" ht="30" customHeight="1" spans="1:49">
      <c r="A37" s="573">
        <f t="shared" si="0"/>
        <v>34</v>
      </c>
      <c r="B37" s="580" t="s">
        <v>158</v>
      </c>
      <c r="C37" s="567" t="s">
        <v>115</v>
      </c>
      <c r="D37" s="581">
        <v>45702</v>
      </c>
      <c r="E37" s="20" t="s">
        <v>49</v>
      </c>
      <c r="F37" s="569">
        <v>31</v>
      </c>
      <c r="G37" s="570">
        <v>0</v>
      </c>
      <c r="H37" s="570">
        <v>0</v>
      </c>
      <c r="I37" s="570"/>
      <c r="J37" s="570">
        <v>0</v>
      </c>
      <c r="K37" s="570">
        <v>0</v>
      </c>
      <c r="L37" s="570">
        <v>0</v>
      </c>
      <c r="M37" s="570">
        <v>0</v>
      </c>
      <c r="N37" s="570">
        <v>0</v>
      </c>
      <c r="O37" s="570">
        <v>0</v>
      </c>
      <c r="P37" s="570">
        <v>0</v>
      </c>
      <c r="Q37" s="600" t="s">
        <v>159</v>
      </c>
      <c r="R37" s="570"/>
      <c r="S37" s="570">
        <v>0</v>
      </c>
      <c r="T37" s="570">
        <v>0</v>
      </c>
      <c r="U37" s="590"/>
      <c r="V37" s="591"/>
      <c r="W37" s="593">
        <v>2000</v>
      </c>
      <c r="X37" s="593">
        <v>600</v>
      </c>
      <c r="Y37" s="593">
        <v>300</v>
      </c>
      <c r="Z37" s="593">
        <v>200</v>
      </c>
      <c r="AA37" s="593">
        <v>200</v>
      </c>
      <c r="AB37" s="593">
        <v>100</v>
      </c>
      <c r="AC37" s="593">
        <v>100</v>
      </c>
      <c r="AD37" s="605">
        <f t="shared" si="1"/>
        <v>3500</v>
      </c>
      <c r="AE37" s="58">
        <v>112.9</v>
      </c>
      <c r="AF37" s="58"/>
      <c r="AG37" s="58">
        <v>0</v>
      </c>
      <c r="AH37" s="610">
        <f t="shared" si="9"/>
        <v>0</v>
      </c>
      <c r="AI37" s="58">
        <f t="shared" si="10"/>
        <v>0</v>
      </c>
      <c r="AJ37" s="58">
        <v>0</v>
      </c>
      <c r="AK37" s="58">
        <v>0</v>
      </c>
      <c r="AL37" s="58">
        <v>0</v>
      </c>
      <c r="AM37" s="612">
        <f t="shared" si="2"/>
        <v>0</v>
      </c>
      <c r="AN37" s="612">
        <f t="shared" si="3"/>
        <v>3612.9</v>
      </c>
      <c r="AO37" s="58">
        <f t="shared" si="4"/>
        <v>0</v>
      </c>
      <c r="AP37" s="589">
        <f t="shared" si="5"/>
        <v>0</v>
      </c>
      <c r="AQ37" s="58">
        <f t="shared" si="6"/>
        <v>0</v>
      </c>
      <c r="AR37" s="58"/>
      <c r="AS37" s="617">
        <v>0</v>
      </c>
      <c r="AT37" s="617">
        <v>0</v>
      </c>
      <c r="AU37" s="58">
        <f t="shared" si="11"/>
        <v>0</v>
      </c>
      <c r="AV37" s="58">
        <f t="shared" si="8"/>
        <v>3612.9</v>
      </c>
      <c r="AW37" s="93" t="s">
        <v>159</v>
      </c>
    </row>
    <row r="38" s="562" customFormat="1" ht="30" customHeight="1" spans="1:49">
      <c r="A38" s="240">
        <f t="shared" si="0"/>
        <v>35</v>
      </c>
      <c r="B38" s="580" t="s">
        <v>160</v>
      </c>
      <c r="C38" s="57" t="s">
        <v>115</v>
      </c>
      <c r="D38" s="581">
        <v>45701</v>
      </c>
      <c r="E38" s="20" t="s">
        <v>49</v>
      </c>
      <c r="F38" s="21">
        <v>31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63" t="s">
        <v>161</v>
      </c>
      <c r="R38" s="22"/>
      <c r="S38" s="22">
        <v>0</v>
      </c>
      <c r="T38" s="22">
        <v>0</v>
      </c>
      <c r="U38" s="55"/>
      <c r="V38" s="601"/>
      <c r="W38" s="74">
        <v>2000</v>
      </c>
      <c r="X38" s="74">
        <v>600</v>
      </c>
      <c r="Y38" s="74">
        <v>300</v>
      </c>
      <c r="Z38" s="74">
        <v>200</v>
      </c>
      <c r="AA38" s="74">
        <v>200</v>
      </c>
      <c r="AB38" s="74">
        <v>100</v>
      </c>
      <c r="AC38" s="74">
        <v>100</v>
      </c>
      <c r="AD38" s="607">
        <f t="shared" si="1"/>
        <v>3500</v>
      </c>
      <c r="AE38" s="421"/>
      <c r="AF38" s="608"/>
      <c r="AG38" s="608"/>
      <c r="AH38" s="85">
        <f t="shared" si="9"/>
        <v>0</v>
      </c>
      <c r="AI38" s="73">
        <f t="shared" si="10"/>
        <v>0</v>
      </c>
      <c r="AJ38" s="614">
        <v>0</v>
      </c>
      <c r="AK38" s="614">
        <v>0</v>
      </c>
      <c r="AL38" s="614">
        <v>0</v>
      </c>
      <c r="AM38" s="86">
        <f t="shared" si="2"/>
        <v>0</v>
      </c>
      <c r="AN38" s="612">
        <f t="shared" si="3"/>
        <v>3500</v>
      </c>
      <c r="AO38" s="73">
        <f t="shared" si="4"/>
        <v>1</v>
      </c>
      <c r="AP38" s="93">
        <f t="shared" si="5"/>
        <v>112.903225806452</v>
      </c>
      <c r="AQ38" s="73">
        <f t="shared" si="6"/>
        <v>0</v>
      </c>
      <c r="AR38" s="73"/>
      <c r="AS38" s="614">
        <v>0</v>
      </c>
      <c r="AT38" s="614">
        <v>0</v>
      </c>
      <c r="AU38" s="58">
        <f t="shared" si="11"/>
        <v>112.903225806452</v>
      </c>
      <c r="AV38" s="58">
        <f t="shared" si="8"/>
        <v>3387.09677419355</v>
      </c>
      <c r="AW38" s="93" t="s">
        <v>161</v>
      </c>
    </row>
    <row r="39" s="562" customFormat="1" ht="30" customHeight="1" spans="1:49">
      <c r="A39" s="240">
        <f t="shared" si="0"/>
        <v>36</v>
      </c>
      <c r="B39" s="580" t="s">
        <v>162</v>
      </c>
      <c r="C39" s="57" t="s">
        <v>115</v>
      </c>
      <c r="D39" s="581">
        <v>45701</v>
      </c>
      <c r="E39" s="20" t="s">
        <v>49</v>
      </c>
      <c r="F39" s="21">
        <v>31</v>
      </c>
      <c r="G39" s="22">
        <v>0</v>
      </c>
      <c r="H39" s="22">
        <v>0</v>
      </c>
      <c r="I39" s="22"/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599" t="s">
        <v>163</v>
      </c>
      <c r="R39" s="22"/>
      <c r="S39" s="22">
        <v>0</v>
      </c>
      <c r="T39" s="22">
        <v>0</v>
      </c>
      <c r="U39" s="55"/>
      <c r="V39" s="601"/>
      <c r="W39" s="74">
        <v>2000</v>
      </c>
      <c r="X39" s="74">
        <v>600</v>
      </c>
      <c r="Y39" s="74">
        <v>300</v>
      </c>
      <c r="Z39" s="74">
        <v>200</v>
      </c>
      <c r="AA39" s="74">
        <v>200</v>
      </c>
      <c r="AB39" s="74">
        <v>100</v>
      </c>
      <c r="AC39" s="74">
        <v>100</v>
      </c>
      <c r="AD39" s="607">
        <f t="shared" si="1"/>
        <v>3500</v>
      </c>
      <c r="AE39" s="421">
        <v>42.3</v>
      </c>
      <c r="AF39" s="608"/>
      <c r="AG39" s="608"/>
      <c r="AH39" s="85">
        <f t="shared" si="9"/>
        <v>0</v>
      </c>
      <c r="AI39" s="73">
        <f t="shared" si="10"/>
        <v>0</v>
      </c>
      <c r="AJ39" s="614"/>
      <c r="AK39" s="614"/>
      <c r="AL39" s="614"/>
      <c r="AM39" s="86">
        <f t="shared" si="2"/>
        <v>0</v>
      </c>
      <c r="AN39" s="612">
        <f t="shared" si="3"/>
        <v>3542.3</v>
      </c>
      <c r="AO39" s="73">
        <f t="shared" si="4"/>
        <v>0</v>
      </c>
      <c r="AP39" s="93">
        <f t="shared" si="5"/>
        <v>0</v>
      </c>
      <c r="AQ39" s="73">
        <f t="shared" si="6"/>
        <v>0</v>
      </c>
      <c r="AR39" s="73"/>
      <c r="AS39" s="614"/>
      <c r="AT39" s="614"/>
      <c r="AU39" s="58">
        <f t="shared" si="11"/>
        <v>0</v>
      </c>
      <c r="AV39" s="58">
        <f t="shared" si="8"/>
        <v>3542.3</v>
      </c>
      <c r="AW39" s="93" t="s">
        <v>163</v>
      </c>
    </row>
    <row r="40" s="562" customFormat="1" ht="30" customHeight="1" spans="1:49">
      <c r="A40" s="240">
        <f t="shared" si="0"/>
        <v>37</v>
      </c>
      <c r="B40" s="580" t="s">
        <v>164</v>
      </c>
      <c r="C40" s="57" t="s">
        <v>115</v>
      </c>
      <c r="D40" s="581">
        <v>45701</v>
      </c>
      <c r="E40" s="20" t="s">
        <v>49</v>
      </c>
      <c r="F40" s="21">
        <v>31</v>
      </c>
      <c r="G40" s="22">
        <v>0</v>
      </c>
      <c r="H40" s="22">
        <v>0</v>
      </c>
      <c r="I40" s="22"/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63"/>
      <c r="R40" s="22"/>
      <c r="S40" s="22">
        <v>0</v>
      </c>
      <c r="T40" s="22">
        <v>0</v>
      </c>
      <c r="U40" s="55"/>
      <c r="V40" s="601"/>
      <c r="W40" s="74">
        <v>2000</v>
      </c>
      <c r="X40" s="74">
        <v>600</v>
      </c>
      <c r="Y40" s="74">
        <v>300</v>
      </c>
      <c r="Z40" s="74">
        <v>200</v>
      </c>
      <c r="AA40" s="74">
        <v>200</v>
      </c>
      <c r="AB40" s="74">
        <v>100</v>
      </c>
      <c r="AC40" s="74">
        <v>100</v>
      </c>
      <c r="AD40" s="607">
        <f t="shared" si="1"/>
        <v>3500</v>
      </c>
      <c r="AE40" s="421"/>
      <c r="AF40" s="608"/>
      <c r="AG40" s="608"/>
      <c r="AH40" s="85">
        <f t="shared" si="9"/>
        <v>0</v>
      </c>
      <c r="AI40" s="73">
        <f t="shared" si="10"/>
        <v>0</v>
      </c>
      <c r="AJ40" s="614"/>
      <c r="AK40" s="614"/>
      <c r="AL40" s="614"/>
      <c r="AM40" s="86">
        <f t="shared" si="2"/>
        <v>0</v>
      </c>
      <c r="AN40" s="612">
        <f t="shared" si="3"/>
        <v>3500</v>
      </c>
      <c r="AO40" s="73">
        <f t="shared" si="4"/>
        <v>0</v>
      </c>
      <c r="AP40" s="93">
        <f t="shared" si="5"/>
        <v>0</v>
      </c>
      <c r="AQ40" s="73">
        <f t="shared" si="6"/>
        <v>0</v>
      </c>
      <c r="AR40" s="73"/>
      <c r="AS40" s="614"/>
      <c r="AT40" s="614"/>
      <c r="AU40" s="58">
        <f t="shared" si="11"/>
        <v>0</v>
      </c>
      <c r="AV40" s="58">
        <f t="shared" si="8"/>
        <v>3500</v>
      </c>
      <c r="AW40" s="93">
        <v>0</v>
      </c>
    </row>
    <row r="41" s="562" customFormat="1" ht="30" customHeight="1" spans="1:49">
      <c r="A41" s="240">
        <f t="shared" si="0"/>
        <v>38</v>
      </c>
      <c r="B41" s="580" t="s">
        <v>165</v>
      </c>
      <c r="C41" s="57" t="s">
        <v>115</v>
      </c>
      <c r="D41" s="581">
        <v>45698</v>
      </c>
      <c r="E41" s="20" t="s">
        <v>49</v>
      </c>
      <c r="F41" s="21">
        <v>31</v>
      </c>
      <c r="G41" s="22">
        <v>0</v>
      </c>
      <c r="H41" s="22">
        <v>0</v>
      </c>
      <c r="I41" s="22"/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599" t="s">
        <v>163</v>
      </c>
      <c r="R41" s="22"/>
      <c r="S41" s="22">
        <v>0</v>
      </c>
      <c r="T41" s="22">
        <v>0</v>
      </c>
      <c r="U41" s="55"/>
      <c r="V41" s="601"/>
      <c r="W41" s="74">
        <v>2000</v>
      </c>
      <c r="X41" s="74">
        <v>600</v>
      </c>
      <c r="Y41" s="74">
        <v>300</v>
      </c>
      <c r="Z41" s="74">
        <v>200</v>
      </c>
      <c r="AA41" s="74">
        <v>200</v>
      </c>
      <c r="AB41" s="74">
        <v>100</v>
      </c>
      <c r="AC41" s="74">
        <v>100</v>
      </c>
      <c r="AD41" s="607">
        <f t="shared" si="1"/>
        <v>3500</v>
      </c>
      <c r="AE41" s="421">
        <v>42.3</v>
      </c>
      <c r="AF41" s="608"/>
      <c r="AG41" s="608"/>
      <c r="AH41" s="85">
        <f t="shared" si="9"/>
        <v>0</v>
      </c>
      <c r="AI41" s="73">
        <f t="shared" si="10"/>
        <v>0</v>
      </c>
      <c r="AJ41" s="614"/>
      <c r="AK41" s="614"/>
      <c r="AL41" s="614"/>
      <c r="AM41" s="86">
        <f t="shared" si="2"/>
        <v>0</v>
      </c>
      <c r="AN41" s="612">
        <f t="shared" si="3"/>
        <v>3542.3</v>
      </c>
      <c r="AO41" s="73">
        <f t="shared" si="4"/>
        <v>0</v>
      </c>
      <c r="AP41" s="93">
        <f t="shared" si="5"/>
        <v>0</v>
      </c>
      <c r="AQ41" s="73">
        <f t="shared" si="6"/>
        <v>0</v>
      </c>
      <c r="AR41" s="73"/>
      <c r="AS41" s="614"/>
      <c r="AT41" s="614"/>
      <c r="AU41" s="58">
        <f t="shared" si="11"/>
        <v>0</v>
      </c>
      <c r="AV41" s="58">
        <f t="shared" si="8"/>
        <v>3542.3</v>
      </c>
      <c r="AW41" s="93" t="s">
        <v>163</v>
      </c>
    </row>
    <row r="42" s="562" customFormat="1" ht="30" customHeight="1" spans="1:49">
      <c r="A42" s="240">
        <f t="shared" si="0"/>
        <v>39</v>
      </c>
      <c r="B42" s="580" t="s">
        <v>166</v>
      </c>
      <c r="C42" s="57" t="s">
        <v>115</v>
      </c>
      <c r="D42" s="581">
        <v>45346</v>
      </c>
      <c r="E42" s="20" t="s">
        <v>49</v>
      </c>
      <c r="F42" s="21">
        <v>31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598"/>
      <c r="R42" s="22"/>
      <c r="S42" s="22">
        <v>0</v>
      </c>
      <c r="T42" s="22">
        <v>0</v>
      </c>
      <c r="U42" s="55"/>
      <c r="V42" s="601"/>
      <c r="W42" s="74">
        <v>2000</v>
      </c>
      <c r="X42" s="74">
        <v>600</v>
      </c>
      <c r="Y42" s="74">
        <v>300</v>
      </c>
      <c r="Z42" s="74">
        <v>200</v>
      </c>
      <c r="AA42" s="74">
        <v>200</v>
      </c>
      <c r="AB42" s="74">
        <v>100</v>
      </c>
      <c r="AC42" s="74">
        <v>100</v>
      </c>
      <c r="AD42" s="607">
        <f t="shared" si="1"/>
        <v>3500</v>
      </c>
      <c r="AE42" s="421"/>
      <c r="AF42" s="608"/>
      <c r="AG42" s="608"/>
      <c r="AH42" s="85">
        <f t="shared" si="9"/>
        <v>0</v>
      </c>
      <c r="AI42" s="73">
        <f t="shared" si="10"/>
        <v>0</v>
      </c>
      <c r="AJ42" s="614"/>
      <c r="AK42" s="614"/>
      <c r="AL42" s="614"/>
      <c r="AM42" s="86">
        <f t="shared" si="2"/>
        <v>0</v>
      </c>
      <c r="AN42" s="612">
        <f t="shared" si="3"/>
        <v>3500</v>
      </c>
      <c r="AO42" s="73">
        <f t="shared" si="4"/>
        <v>0</v>
      </c>
      <c r="AP42" s="93">
        <f t="shared" si="5"/>
        <v>0</v>
      </c>
      <c r="AQ42" s="73">
        <f t="shared" si="6"/>
        <v>0</v>
      </c>
      <c r="AR42" s="73"/>
      <c r="AS42" s="614"/>
      <c r="AT42" s="614"/>
      <c r="AU42" s="58">
        <f t="shared" si="11"/>
        <v>0</v>
      </c>
      <c r="AV42" s="58">
        <f t="shared" si="8"/>
        <v>3500</v>
      </c>
      <c r="AW42" s="93">
        <v>0</v>
      </c>
    </row>
    <row r="43" s="562" customFormat="1" ht="30" customHeight="1" spans="1:49">
      <c r="A43" s="240">
        <f t="shared" si="0"/>
        <v>40</v>
      </c>
      <c r="B43" s="582" t="s">
        <v>167</v>
      </c>
      <c r="C43" s="57" t="s">
        <v>115</v>
      </c>
      <c r="D43" s="583">
        <v>45719</v>
      </c>
      <c r="E43" s="20" t="s">
        <v>49</v>
      </c>
      <c r="F43" s="21">
        <v>31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46"/>
      <c r="R43" s="22"/>
      <c r="S43" s="22">
        <v>0</v>
      </c>
      <c r="T43" s="22">
        <v>0</v>
      </c>
      <c r="U43" s="602"/>
      <c r="V43" s="601"/>
      <c r="W43" s="74">
        <v>2000</v>
      </c>
      <c r="X43" s="74">
        <v>600</v>
      </c>
      <c r="Y43" s="74">
        <v>300</v>
      </c>
      <c r="Z43" s="74">
        <v>200</v>
      </c>
      <c r="AA43" s="74">
        <v>200</v>
      </c>
      <c r="AB43" s="74">
        <v>100</v>
      </c>
      <c r="AC43" s="74">
        <v>100</v>
      </c>
      <c r="AD43" s="607">
        <f t="shared" si="1"/>
        <v>3500</v>
      </c>
      <c r="AE43" s="421"/>
      <c r="AF43" s="608"/>
      <c r="AG43" s="608"/>
      <c r="AH43" s="85">
        <f t="shared" si="9"/>
        <v>0</v>
      </c>
      <c r="AI43" s="73">
        <f t="shared" si="10"/>
        <v>0</v>
      </c>
      <c r="AJ43" s="614"/>
      <c r="AK43" s="614"/>
      <c r="AL43" s="614"/>
      <c r="AM43" s="86">
        <f t="shared" si="2"/>
        <v>0</v>
      </c>
      <c r="AN43" s="612">
        <f t="shared" si="3"/>
        <v>3500</v>
      </c>
      <c r="AO43" s="73">
        <f t="shared" si="4"/>
        <v>0</v>
      </c>
      <c r="AP43" s="93">
        <f t="shared" si="5"/>
        <v>0</v>
      </c>
      <c r="AQ43" s="73">
        <f t="shared" si="6"/>
        <v>0</v>
      </c>
      <c r="AR43" s="73"/>
      <c r="AS43" s="614"/>
      <c r="AT43" s="614"/>
      <c r="AU43" s="58">
        <f t="shared" si="11"/>
        <v>0</v>
      </c>
      <c r="AV43" s="58">
        <f t="shared" si="8"/>
        <v>3500</v>
      </c>
      <c r="AW43" s="93">
        <v>0</v>
      </c>
    </row>
    <row r="44" s="562" customFormat="1" ht="30" customHeight="1" spans="1:49">
      <c r="A44" s="240">
        <f t="shared" si="0"/>
        <v>41</v>
      </c>
      <c r="B44" s="582" t="s">
        <v>168</v>
      </c>
      <c r="C44" s="57" t="s">
        <v>115</v>
      </c>
      <c r="D44" s="583">
        <v>45727</v>
      </c>
      <c r="E44" s="20" t="s">
        <v>49</v>
      </c>
      <c r="F44" s="21">
        <v>31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65" t="s">
        <v>169</v>
      </c>
      <c r="R44" s="22"/>
      <c r="S44" s="22">
        <v>0</v>
      </c>
      <c r="T44" s="22">
        <v>0</v>
      </c>
      <c r="U44" s="603"/>
      <c r="V44" s="601"/>
      <c r="W44" s="74">
        <v>2000</v>
      </c>
      <c r="X44" s="74">
        <v>600</v>
      </c>
      <c r="Y44" s="74">
        <v>300</v>
      </c>
      <c r="Z44" s="74">
        <v>200</v>
      </c>
      <c r="AA44" s="74">
        <v>200</v>
      </c>
      <c r="AB44" s="74">
        <v>100</v>
      </c>
      <c r="AC44" s="74">
        <v>100</v>
      </c>
      <c r="AD44" s="607">
        <f t="shared" si="1"/>
        <v>3500</v>
      </c>
      <c r="AE44" s="421"/>
      <c r="AF44" s="608">
        <v>2500</v>
      </c>
      <c r="AG44" s="608"/>
      <c r="AH44" s="85">
        <f t="shared" si="9"/>
        <v>0</v>
      </c>
      <c r="AI44" s="73">
        <f t="shared" si="10"/>
        <v>0</v>
      </c>
      <c r="AJ44" s="614"/>
      <c r="AK44" s="614"/>
      <c r="AL44" s="614"/>
      <c r="AM44" s="86">
        <f t="shared" si="2"/>
        <v>0</v>
      </c>
      <c r="AN44" s="612">
        <f t="shared" si="3"/>
        <v>6000</v>
      </c>
      <c r="AO44" s="73">
        <f t="shared" si="4"/>
        <v>0</v>
      </c>
      <c r="AP44" s="93">
        <f t="shared" si="5"/>
        <v>0</v>
      </c>
      <c r="AQ44" s="73">
        <f t="shared" si="6"/>
        <v>0</v>
      </c>
      <c r="AR44" s="73"/>
      <c r="AS44" s="614"/>
      <c r="AT44" s="614"/>
      <c r="AU44" s="58">
        <f t="shared" si="11"/>
        <v>0</v>
      </c>
      <c r="AV44" s="58">
        <f t="shared" si="8"/>
        <v>6000</v>
      </c>
      <c r="AW44" s="93" t="s">
        <v>169</v>
      </c>
    </row>
    <row r="45" s="562" customFormat="1" ht="30" customHeight="1" spans="1:49">
      <c r="A45" s="240">
        <f t="shared" si="0"/>
        <v>42</v>
      </c>
      <c r="B45" s="582" t="s">
        <v>170</v>
      </c>
      <c r="C45" s="57" t="s">
        <v>115</v>
      </c>
      <c r="D45" s="583">
        <v>45745</v>
      </c>
      <c r="E45" s="20" t="s">
        <v>49</v>
      </c>
      <c r="F45" s="21">
        <v>31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51" t="s">
        <v>171</v>
      </c>
      <c r="R45" s="22">
        <v>0</v>
      </c>
      <c r="S45" s="22">
        <v>0</v>
      </c>
      <c r="T45" s="22">
        <v>0</v>
      </c>
      <c r="U45" s="602"/>
      <c r="V45" s="601"/>
      <c r="W45" s="74">
        <v>2000</v>
      </c>
      <c r="X45" s="74">
        <v>200</v>
      </c>
      <c r="Y45" s="74">
        <v>300</v>
      </c>
      <c r="Z45" s="74">
        <v>300</v>
      </c>
      <c r="AA45" s="74">
        <v>300</v>
      </c>
      <c r="AB45" s="74">
        <v>300</v>
      </c>
      <c r="AC45" s="74">
        <v>100</v>
      </c>
      <c r="AD45" s="607">
        <f t="shared" si="1"/>
        <v>3500</v>
      </c>
      <c r="AE45" s="421"/>
      <c r="AF45" s="608"/>
      <c r="AG45" s="608"/>
      <c r="AH45" s="85">
        <f t="shared" si="9"/>
        <v>0</v>
      </c>
      <c r="AI45" s="73">
        <f t="shared" si="10"/>
        <v>0</v>
      </c>
      <c r="AJ45" s="614"/>
      <c r="AK45" s="614"/>
      <c r="AL45" s="614"/>
      <c r="AM45" s="86">
        <f t="shared" si="2"/>
        <v>0</v>
      </c>
      <c r="AN45" s="612">
        <f t="shared" si="3"/>
        <v>3500</v>
      </c>
      <c r="AO45" s="73">
        <f t="shared" si="4"/>
        <v>0</v>
      </c>
      <c r="AP45" s="93">
        <f t="shared" si="5"/>
        <v>0</v>
      </c>
      <c r="AQ45" s="73">
        <f t="shared" si="6"/>
        <v>0</v>
      </c>
      <c r="AR45" s="73">
        <v>500</v>
      </c>
      <c r="AS45" s="614"/>
      <c r="AT45" s="614"/>
      <c r="AU45" s="58">
        <f t="shared" si="11"/>
        <v>500</v>
      </c>
      <c r="AV45" s="58">
        <f t="shared" si="8"/>
        <v>3000</v>
      </c>
      <c r="AW45" s="93" t="s">
        <v>171</v>
      </c>
    </row>
    <row r="46" s="3" customFormat="1" ht="30" customHeight="1" spans="1:49">
      <c r="A46" s="240">
        <f t="shared" si="0"/>
        <v>43</v>
      </c>
      <c r="B46" s="584" t="s">
        <v>172</v>
      </c>
      <c r="C46" s="57" t="s">
        <v>115</v>
      </c>
      <c r="D46" s="585">
        <v>45751</v>
      </c>
      <c r="E46" s="20" t="s">
        <v>49</v>
      </c>
      <c r="F46" s="21">
        <v>31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46" t="s">
        <v>163</v>
      </c>
      <c r="R46" s="22"/>
      <c r="S46" s="22">
        <v>0</v>
      </c>
      <c r="T46" s="22">
        <v>0</v>
      </c>
      <c r="U46" s="55"/>
      <c r="V46" s="56"/>
      <c r="W46" s="593">
        <v>2000</v>
      </c>
      <c r="X46" s="74">
        <v>600</v>
      </c>
      <c r="Y46" s="74">
        <v>300</v>
      </c>
      <c r="Z46" s="74">
        <v>200</v>
      </c>
      <c r="AA46" s="74">
        <v>200</v>
      </c>
      <c r="AB46" s="74">
        <v>100</v>
      </c>
      <c r="AC46" s="74">
        <v>100</v>
      </c>
      <c r="AD46" s="607">
        <f t="shared" si="1"/>
        <v>3500</v>
      </c>
      <c r="AE46" s="73">
        <v>42.3</v>
      </c>
      <c r="AF46" s="73"/>
      <c r="AG46" s="73">
        <v>0</v>
      </c>
      <c r="AH46" s="85">
        <f t="shared" si="9"/>
        <v>0</v>
      </c>
      <c r="AI46" s="73">
        <f t="shared" si="10"/>
        <v>0</v>
      </c>
      <c r="AJ46" s="73">
        <v>0</v>
      </c>
      <c r="AK46" s="73">
        <v>0</v>
      </c>
      <c r="AL46" s="73">
        <v>0</v>
      </c>
      <c r="AM46" s="86">
        <f t="shared" si="2"/>
        <v>0</v>
      </c>
      <c r="AN46" s="612">
        <f t="shared" si="3"/>
        <v>3542.3</v>
      </c>
      <c r="AO46" s="73">
        <f t="shared" si="4"/>
        <v>0</v>
      </c>
      <c r="AP46" s="93">
        <f t="shared" si="5"/>
        <v>0</v>
      </c>
      <c r="AQ46" s="73">
        <f t="shared" si="6"/>
        <v>0</v>
      </c>
      <c r="AR46" s="73"/>
      <c r="AS46" s="73">
        <v>0</v>
      </c>
      <c r="AT46" s="94">
        <v>0</v>
      </c>
      <c r="AU46" s="58">
        <f t="shared" si="11"/>
        <v>0</v>
      </c>
      <c r="AV46" s="58">
        <f t="shared" si="8"/>
        <v>3542.3</v>
      </c>
      <c r="AW46" s="93" t="s">
        <v>163</v>
      </c>
    </row>
    <row r="47" s="3" customFormat="1" ht="30" customHeight="1" spans="1:49">
      <c r="A47" s="240">
        <f t="shared" si="0"/>
        <v>44</v>
      </c>
      <c r="B47" s="584" t="s">
        <v>173</v>
      </c>
      <c r="C47" s="57" t="s">
        <v>115</v>
      </c>
      <c r="D47" s="585">
        <v>45766</v>
      </c>
      <c r="E47" s="20" t="s">
        <v>49</v>
      </c>
      <c r="F47" s="21">
        <v>31</v>
      </c>
      <c r="G47" s="22">
        <v>0</v>
      </c>
      <c r="H47" s="22">
        <v>0</v>
      </c>
      <c r="I47" s="22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46" t="s">
        <v>163</v>
      </c>
      <c r="R47" s="22">
        <v>0</v>
      </c>
      <c r="S47" s="22">
        <v>0</v>
      </c>
      <c r="T47" s="22"/>
      <c r="U47" s="55"/>
      <c r="V47" s="56"/>
      <c r="W47" s="593">
        <v>2000</v>
      </c>
      <c r="X47" s="74">
        <v>600</v>
      </c>
      <c r="Y47" s="74">
        <v>300</v>
      </c>
      <c r="Z47" s="74">
        <v>200</v>
      </c>
      <c r="AA47" s="74">
        <v>200</v>
      </c>
      <c r="AB47" s="74">
        <v>100</v>
      </c>
      <c r="AC47" s="74">
        <v>100</v>
      </c>
      <c r="AD47" s="607">
        <f t="shared" si="1"/>
        <v>3500</v>
      </c>
      <c r="AE47" s="73">
        <v>42.3</v>
      </c>
      <c r="AF47" s="73"/>
      <c r="AG47" s="73"/>
      <c r="AH47" s="85">
        <f t="shared" si="9"/>
        <v>0</v>
      </c>
      <c r="AI47" s="73">
        <f t="shared" si="10"/>
        <v>0</v>
      </c>
      <c r="AJ47" s="73"/>
      <c r="AK47" s="73"/>
      <c r="AL47" s="73"/>
      <c r="AM47" s="86">
        <f t="shared" si="2"/>
        <v>0</v>
      </c>
      <c r="AN47" s="612">
        <f t="shared" si="3"/>
        <v>3542.3</v>
      </c>
      <c r="AO47" s="73">
        <f t="shared" si="4"/>
        <v>0</v>
      </c>
      <c r="AP47" s="93">
        <f t="shared" si="5"/>
        <v>0</v>
      </c>
      <c r="AQ47" s="73">
        <f t="shared" si="6"/>
        <v>0</v>
      </c>
      <c r="AR47" s="73"/>
      <c r="AS47" s="73"/>
      <c r="AT47" s="94"/>
      <c r="AU47" s="58">
        <f t="shared" si="11"/>
        <v>0</v>
      </c>
      <c r="AV47" s="58">
        <f t="shared" si="8"/>
        <v>3542.3</v>
      </c>
      <c r="AW47" s="93" t="s">
        <v>163</v>
      </c>
    </row>
    <row r="48" s="562" customFormat="1" ht="30" customHeight="1" spans="1:49">
      <c r="A48" s="240">
        <f t="shared" si="0"/>
        <v>45</v>
      </c>
      <c r="B48" s="580" t="s">
        <v>174</v>
      </c>
      <c r="C48" s="586" t="s">
        <v>115</v>
      </c>
      <c r="D48" s="585">
        <v>45768</v>
      </c>
      <c r="E48" s="20" t="s">
        <v>49</v>
      </c>
      <c r="F48" s="21">
        <v>31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46" t="s">
        <v>163</v>
      </c>
      <c r="R48" s="22">
        <v>0</v>
      </c>
      <c r="S48" s="22">
        <v>0</v>
      </c>
      <c r="T48" s="22"/>
      <c r="U48" s="604"/>
      <c r="V48" s="604"/>
      <c r="W48" s="593">
        <v>2000</v>
      </c>
      <c r="X48" s="74">
        <v>600</v>
      </c>
      <c r="Y48" s="74">
        <v>300</v>
      </c>
      <c r="Z48" s="74">
        <v>200</v>
      </c>
      <c r="AA48" s="74">
        <v>200</v>
      </c>
      <c r="AB48" s="74">
        <v>100</v>
      </c>
      <c r="AC48" s="74">
        <v>100</v>
      </c>
      <c r="AD48" s="607">
        <f t="shared" si="1"/>
        <v>3500</v>
      </c>
      <c r="AE48" s="407">
        <v>42.3</v>
      </c>
      <c r="AF48" s="604"/>
      <c r="AG48" s="604"/>
      <c r="AH48" s="85">
        <f t="shared" si="9"/>
        <v>0</v>
      </c>
      <c r="AI48" s="73">
        <f t="shared" si="10"/>
        <v>0</v>
      </c>
      <c r="AJ48" s="604"/>
      <c r="AK48" s="604"/>
      <c r="AL48" s="604"/>
      <c r="AM48" s="86">
        <f t="shared" si="2"/>
        <v>0</v>
      </c>
      <c r="AN48" s="612">
        <f t="shared" si="3"/>
        <v>3542.3</v>
      </c>
      <c r="AO48" s="73">
        <f t="shared" si="4"/>
        <v>0</v>
      </c>
      <c r="AP48" s="93">
        <f t="shared" si="5"/>
        <v>0</v>
      </c>
      <c r="AQ48" s="73">
        <v>0</v>
      </c>
      <c r="AR48" s="73"/>
      <c r="AS48" s="73">
        <v>0</v>
      </c>
      <c r="AT48" s="94">
        <v>0</v>
      </c>
      <c r="AU48" s="58">
        <f t="shared" si="11"/>
        <v>0</v>
      </c>
      <c r="AV48" s="58">
        <f t="shared" si="8"/>
        <v>3542.3</v>
      </c>
      <c r="AW48" s="93" t="s">
        <v>163</v>
      </c>
    </row>
    <row r="49" s="562" customFormat="1" ht="30" customHeight="1" spans="1:97">
      <c r="A49" s="240">
        <f t="shared" si="0"/>
        <v>46</v>
      </c>
      <c r="B49" s="587" t="s">
        <v>175</v>
      </c>
      <c r="C49" s="57" t="s">
        <v>115</v>
      </c>
      <c r="D49" s="568">
        <v>45803</v>
      </c>
      <c r="E49" s="588" t="s">
        <v>65</v>
      </c>
      <c r="F49" s="21">
        <v>6</v>
      </c>
      <c r="G49" s="22">
        <v>0</v>
      </c>
      <c r="H49" s="22">
        <v>0</v>
      </c>
      <c r="I49" s="22"/>
      <c r="J49" s="22"/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46" t="s">
        <v>176</v>
      </c>
      <c r="R49" s="22"/>
      <c r="S49" s="22">
        <v>0</v>
      </c>
      <c r="T49" s="22">
        <v>0</v>
      </c>
      <c r="U49" s="55"/>
      <c r="V49" s="56"/>
      <c r="W49" s="593">
        <v>677.41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607">
        <f t="shared" si="1"/>
        <v>677.41</v>
      </c>
      <c r="AE49" s="73">
        <v>42.3</v>
      </c>
      <c r="AF49" s="73"/>
      <c r="AG49" s="73">
        <v>0</v>
      </c>
      <c r="AH49" s="85">
        <v>0</v>
      </c>
      <c r="AI49" s="73">
        <v>0</v>
      </c>
      <c r="AJ49" s="73">
        <v>0</v>
      </c>
      <c r="AK49" s="73">
        <v>0</v>
      </c>
      <c r="AL49" s="73">
        <v>0</v>
      </c>
      <c r="AM49" s="86">
        <v>0</v>
      </c>
      <c r="AN49" s="612">
        <f t="shared" si="3"/>
        <v>719.71</v>
      </c>
      <c r="AO49" s="73">
        <v>0</v>
      </c>
      <c r="AP49" s="93">
        <v>0</v>
      </c>
      <c r="AQ49" s="73">
        <v>0</v>
      </c>
      <c r="AR49" s="73"/>
      <c r="AS49" s="73">
        <v>0</v>
      </c>
      <c r="AT49" s="94">
        <v>0</v>
      </c>
      <c r="AU49" s="58">
        <f t="shared" si="11"/>
        <v>0</v>
      </c>
      <c r="AV49" s="58">
        <f t="shared" si="8"/>
        <v>719.71</v>
      </c>
      <c r="AW49" s="93" t="s">
        <v>176</v>
      </c>
      <c r="AX49" s="619"/>
      <c r="AY49" s="580"/>
      <c r="AZ49" s="586"/>
      <c r="BA49" s="586"/>
      <c r="BB49" s="586"/>
      <c r="BC49" s="586"/>
      <c r="BD49" s="586"/>
      <c r="BE49" s="586"/>
      <c r="BF49" s="586"/>
      <c r="BG49" s="586"/>
      <c r="BH49" s="586"/>
      <c r="BI49" s="586"/>
      <c r="BJ49" s="586"/>
      <c r="BK49" s="586"/>
      <c r="BL49" s="586"/>
      <c r="BM49" s="586"/>
      <c r="BN49" s="620"/>
      <c r="BO49" s="586"/>
      <c r="BP49" s="586"/>
      <c r="BQ49" s="604"/>
      <c r="BR49" s="604"/>
      <c r="BS49" s="604"/>
      <c r="BT49" s="604"/>
      <c r="BU49" s="604"/>
      <c r="BV49" s="604"/>
      <c r="BW49" s="604"/>
      <c r="BX49" s="604"/>
      <c r="BY49" s="604"/>
      <c r="BZ49" s="604"/>
      <c r="CA49" s="621"/>
      <c r="CB49" s="604"/>
      <c r="CC49" s="604"/>
      <c r="CD49" s="604"/>
      <c r="CE49" s="604"/>
      <c r="CF49" s="604"/>
      <c r="CG49" s="604"/>
      <c r="CH49" s="604"/>
      <c r="CI49" s="604"/>
      <c r="CJ49" s="622"/>
      <c r="CK49" s="604"/>
      <c r="CL49" s="604"/>
      <c r="CM49" s="604"/>
      <c r="CN49" s="604"/>
      <c r="CO49" s="604"/>
      <c r="CP49" s="604"/>
      <c r="CQ49" s="604"/>
      <c r="CR49" s="604"/>
      <c r="CS49" s="604"/>
    </row>
    <row r="50" s="4" customFormat="1" ht="39" customHeight="1" spans="1:49">
      <c r="A50" s="308"/>
      <c r="B50" s="37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67"/>
      <c r="R50" s="38"/>
      <c r="S50" s="38"/>
      <c r="T50" s="66"/>
      <c r="U50" s="66"/>
      <c r="V50" s="66"/>
      <c r="W50" s="66">
        <f>SUM(W4:W49)</f>
        <v>94547.41</v>
      </c>
      <c r="X50" s="66">
        <f t="shared" ref="X50:AW50" si="12">SUM(X4:X49)</f>
        <v>27300</v>
      </c>
      <c r="Y50" s="66">
        <f t="shared" si="12"/>
        <v>13200</v>
      </c>
      <c r="Z50" s="66">
        <f t="shared" si="12"/>
        <v>8800</v>
      </c>
      <c r="AA50" s="66">
        <f t="shared" si="12"/>
        <v>8800</v>
      </c>
      <c r="AB50" s="66">
        <f t="shared" si="12"/>
        <v>4900</v>
      </c>
      <c r="AC50" s="66">
        <f t="shared" si="12"/>
        <v>5500</v>
      </c>
      <c r="AD50" s="66">
        <f t="shared" si="12"/>
        <v>163047.41</v>
      </c>
      <c r="AE50" s="66">
        <f t="shared" si="12"/>
        <v>1313</v>
      </c>
      <c r="AF50" s="66">
        <f t="shared" si="12"/>
        <v>7500</v>
      </c>
      <c r="AG50" s="66">
        <f t="shared" si="12"/>
        <v>0</v>
      </c>
      <c r="AH50" s="66">
        <f t="shared" si="12"/>
        <v>0</v>
      </c>
      <c r="AI50" s="66">
        <f t="shared" si="12"/>
        <v>550</v>
      </c>
      <c r="AJ50" s="66">
        <f t="shared" si="12"/>
        <v>0</v>
      </c>
      <c r="AK50" s="66">
        <f t="shared" si="12"/>
        <v>100</v>
      </c>
      <c r="AL50" s="66">
        <f t="shared" si="12"/>
        <v>0</v>
      </c>
      <c r="AM50" s="66">
        <f t="shared" si="12"/>
        <v>0</v>
      </c>
      <c r="AN50" s="66">
        <f t="shared" si="12"/>
        <v>172510.41</v>
      </c>
      <c r="AO50" s="66">
        <f t="shared" si="12"/>
        <v>9.5</v>
      </c>
      <c r="AP50" s="66">
        <f t="shared" si="12"/>
        <v>1072.58064516129</v>
      </c>
      <c r="AQ50" s="66">
        <f t="shared" si="12"/>
        <v>0</v>
      </c>
      <c r="AR50" s="66">
        <f t="shared" si="12"/>
        <v>1134.9</v>
      </c>
      <c r="AS50" s="66">
        <f t="shared" si="12"/>
        <v>1184.8</v>
      </c>
      <c r="AT50" s="66">
        <f t="shared" si="12"/>
        <v>31.31</v>
      </c>
      <c r="AU50" s="66">
        <f t="shared" si="12"/>
        <v>3423.59064516129</v>
      </c>
      <c r="AV50" s="66">
        <f t="shared" si="12"/>
        <v>169086.819354839</v>
      </c>
      <c r="AW50" s="66">
        <f t="shared" si="12"/>
        <v>0</v>
      </c>
    </row>
    <row r="53" customHeight="1" spans="30:31">
      <c r="AD53" s="5" t="s">
        <v>177</v>
      </c>
      <c r="AE53" s="5"/>
    </row>
  </sheetData>
  <mergeCells count="50">
    <mergeCell ref="W1:AW1"/>
    <mergeCell ref="I2:J2"/>
    <mergeCell ref="AD53:AE53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C9">
    <cfRule type="duplicateValues" dxfId="0" priority="6"/>
  </conditionalFormatting>
  <conditionalFormatting sqref="B10">
    <cfRule type="duplicateValues" dxfId="0" priority="4"/>
  </conditionalFormatting>
  <conditionalFormatting sqref="C27">
    <cfRule type="duplicateValues" dxfId="0" priority="5"/>
  </conditionalFormatting>
  <conditionalFormatting sqref="B28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8"/>
  <sheetViews>
    <sheetView zoomScale="85" zoomScaleNormal="85" workbookViewId="0">
      <pane xSplit="6" ySplit="2" topLeftCell="G3" activePane="bottomRight" state="frozen"/>
      <selection/>
      <selection pane="topRight"/>
      <selection pane="bottomLeft"/>
      <selection pane="bottomRight" activeCell="AK21" sqref="AK21"/>
    </sheetView>
  </sheetViews>
  <sheetFormatPr defaultColWidth="9" defaultRowHeight="18.75" customHeight="1"/>
  <cols>
    <col min="1" max="1" width="4.65833333333333" style="497" customWidth="1"/>
    <col min="2" max="2" width="14.2583333333333" style="498" customWidth="1"/>
    <col min="3" max="3" width="9" style="497" hidden="1" customWidth="1"/>
    <col min="4" max="4" width="11.8333333333333" style="497" hidden="1" customWidth="1"/>
    <col min="5" max="5" width="9" style="497" hidden="1" customWidth="1"/>
    <col min="6" max="6" width="5" style="497" hidden="1" customWidth="1"/>
    <col min="7" max="10" width="7" style="497" hidden="1" customWidth="1"/>
    <col min="11" max="11" width="7.65833333333333" style="497" hidden="1" customWidth="1"/>
    <col min="12" max="15" width="10.125" style="497" hidden="1" customWidth="1"/>
    <col min="16" max="16" width="6" style="497" hidden="1" customWidth="1"/>
    <col min="17" max="17" width="28.5" style="497" hidden="1" customWidth="1"/>
    <col min="18" max="19" width="7.16666666666667" style="497" hidden="1" customWidth="1"/>
    <col min="20" max="20" width="9" style="499" hidden="1" customWidth="1"/>
    <col min="21" max="21" width="24" style="499" hidden="1" customWidth="1"/>
    <col min="22" max="28" width="7.83333333333333" style="500" customWidth="1"/>
    <col min="29" max="29" width="11.1583333333333" style="500" customWidth="1"/>
    <col min="30" max="30" width="10.4333333333333" style="500" customWidth="1"/>
    <col min="31" max="31" width="7.83333333333333" style="500" customWidth="1"/>
    <col min="32" max="32" width="9.33333333333333" style="500" customWidth="1"/>
    <col min="33" max="35" width="7.83333333333333" style="500" customWidth="1"/>
    <col min="36" max="36" width="9" style="500"/>
    <col min="37" max="37" width="12.6583333333333" style="500"/>
    <col min="38" max="38" width="9.5" style="500" customWidth="1"/>
    <col min="39" max="39" width="6.5" style="500" customWidth="1"/>
    <col min="40" max="40" width="6.175" style="500" customWidth="1"/>
    <col min="41" max="41" width="8.33333333333333" style="500" customWidth="1"/>
    <col min="42" max="42" width="12.3333333333333" style="500" customWidth="1"/>
    <col min="43" max="43" width="16.125" style="500" customWidth="1"/>
    <col min="44" max="44" width="18.125" style="500" customWidth="1"/>
    <col min="45" max="45" width="9" style="500"/>
    <col min="46" max="46" width="14.1166666666667" style="164" customWidth="1"/>
    <col min="47" max="47" width="11.75" style="164" customWidth="1"/>
    <col min="48" max="16384" width="9" style="164"/>
  </cols>
  <sheetData>
    <row r="1" s="497" customFormat="1" ht="41" customHeight="1" spans="1:45">
      <c r="A1" s="501" t="s">
        <v>0</v>
      </c>
      <c r="B1" s="502" t="s">
        <v>1</v>
      </c>
      <c r="C1" s="503" t="s">
        <v>2</v>
      </c>
      <c r="D1" s="504" t="s">
        <v>3</v>
      </c>
      <c r="E1" s="503" t="s">
        <v>4</v>
      </c>
      <c r="F1" s="505" t="s">
        <v>87</v>
      </c>
      <c r="G1" s="505" t="s">
        <v>38</v>
      </c>
      <c r="H1" s="505" t="s">
        <v>88</v>
      </c>
      <c r="I1" s="505" t="s">
        <v>7</v>
      </c>
      <c r="J1" s="505"/>
      <c r="K1" s="505" t="s">
        <v>178</v>
      </c>
      <c r="L1" s="505" t="s">
        <v>89</v>
      </c>
      <c r="M1" s="505" t="s">
        <v>90</v>
      </c>
      <c r="N1" s="505" t="s">
        <v>91</v>
      </c>
      <c r="O1" s="505" t="s">
        <v>179</v>
      </c>
      <c r="P1" s="505" t="s">
        <v>92</v>
      </c>
      <c r="Q1" s="534" t="s">
        <v>14</v>
      </c>
      <c r="R1" s="505" t="s">
        <v>15</v>
      </c>
      <c r="S1" s="505" t="s">
        <v>93</v>
      </c>
      <c r="T1" s="505" t="s">
        <v>17</v>
      </c>
      <c r="U1" s="535" t="s">
        <v>18</v>
      </c>
      <c r="V1" s="536" t="s">
        <v>180</v>
      </c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</row>
    <row r="2" s="497" customFormat="1" ht="43" customHeight="1" spans="1:45">
      <c r="A2" s="501"/>
      <c r="B2" s="502"/>
      <c r="C2" s="503"/>
      <c r="D2" s="504"/>
      <c r="E2" s="503"/>
      <c r="F2" s="505"/>
      <c r="G2" s="505"/>
      <c r="H2" s="505"/>
      <c r="I2" s="505" t="s">
        <v>101</v>
      </c>
      <c r="J2" s="505" t="s">
        <v>8</v>
      </c>
      <c r="K2" s="505"/>
      <c r="L2" s="505"/>
      <c r="M2" s="505"/>
      <c r="N2" s="505"/>
      <c r="O2" s="505"/>
      <c r="P2" s="505"/>
      <c r="Q2" s="534"/>
      <c r="R2" s="505"/>
      <c r="S2" s="505"/>
      <c r="T2" s="505"/>
      <c r="U2" s="535"/>
      <c r="V2" s="537" t="s">
        <v>21</v>
      </c>
      <c r="W2" s="537" t="s">
        <v>22</v>
      </c>
      <c r="X2" s="537" t="s">
        <v>23</v>
      </c>
      <c r="Y2" s="537" t="s">
        <v>24</v>
      </c>
      <c r="Z2" s="537" t="s">
        <v>25</v>
      </c>
      <c r="AA2" s="537" t="s">
        <v>26</v>
      </c>
      <c r="AB2" s="537" t="s">
        <v>27</v>
      </c>
      <c r="AC2" s="546" t="s">
        <v>28</v>
      </c>
      <c r="AD2" s="537" t="s">
        <v>97</v>
      </c>
      <c r="AE2" s="547" t="s">
        <v>31</v>
      </c>
      <c r="AF2" s="547" t="s">
        <v>32</v>
      </c>
      <c r="AG2" s="537" t="s">
        <v>33</v>
      </c>
      <c r="AH2" s="537" t="s">
        <v>34</v>
      </c>
      <c r="AI2" s="537" t="s">
        <v>35</v>
      </c>
      <c r="AJ2" s="537" t="s">
        <v>98</v>
      </c>
      <c r="AK2" s="547" t="s">
        <v>36</v>
      </c>
      <c r="AL2" s="537" t="s">
        <v>37</v>
      </c>
      <c r="AM2" s="547" t="s">
        <v>38</v>
      </c>
      <c r="AN2" s="547" t="s">
        <v>39</v>
      </c>
      <c r="AO2" s="537" t="s">
        <v>40</v>
      </c>
      <c r="AP2" s="537" t="s">
        <v>181</v>
      </c>
      <c r="AQ2" s="547" t="s">
        <v>43</v>
      </c>
      <c r="AR2" s="547" t="s">
        <v>44</v>
      </c>
      <c r="AS2" s="550" t="s">
        <v>45</v>
      </c>
    </row>
    <row r="3" s="164" customFormat="1" ht="33" customHeight="1" spans="1:47">
      <c r="A3" s="506">
        <v>1</v>
      </c>
      <c r="B3" s="507" t="s">
        <v>182</v>
      </c>
      <c r="C3" s="508" t="s">
        <v>183</v>
      </c>
      <c r="D3" s="509">
        <v>45495</v>
      </c>
      <c r="E3" s="508" t="s">
        <v>49</v>
      </c>
      <c r="F3" s="510">
        <v>31</v>
      </c>
      <c r="G3" s="511">
        <v>0</v>
      </c>
      <c r="H3" s="511">
        <v>0</v>
      </c>
      <c r="I3" s="511">
        <v>0</v>
      </c>
      <c r="J3" s="511">
        <v>0</v>
      </c>
      <c r="K3" s="511"/>
      <c r="L3" s="511">
        <v>0</v>
      </c>
      <c r="M3" s="511">
        <v>0</v>
      </c>
      <c r="N3" s="511">
        <v>0</v>
      </c>
      <c r="O3" s="511">
        <v>0</v>
      </c>
      <c r="P3" s="511">
        <v>0</v>
      </c>
      <c r="Q3" s="538"/>
      <c r="R3" s="539"/>
      <c r="S3" s="539"/>
      <c r="T3" s="539"/>
      <c r="U3" s="534"/>
      <c r="V3" s="540">
        <v>2500</v>
      </c>
      <c r="W3" s="540">
        <v>500</v>
      </c>
      <c r="X3" s="540">
        <v>500</v>
      </c>
      <c r="Y3" s="540">
        <v>300</v>
      </c>
      <c r="Z3" s="540">
        <v>400</v>
      </c>
      <c r="AA3" s="540">
        <v>200</v>
      </c>
      <c r="AB3" s="540">
        <v>600</v>
      </c>
      <c r="AC3" s="548">
        <f t="shared" ref="AC3:AC15" si="0">SUM(V3:AB3)</f>
        <v>5000</v>
      </c>
      <c r="AD3" s="548">
        <v>500</v>
      </c>
      <c r="AE3" s="516">
        <f t="shared" ref="AE3:AE15" si="1">L3</f>
        <v>0</v>
      </c>
      <c r="AF3" s="516">
        <v>972</v>
      </c>
      <c r="AG3" s="516">
        <v>0</v>
      </c>
      <c r="AH3" s="516">
        <v>0</v>
      </c>
      <c r="AI3" s="516">
        <v>0</v>
      </c>
      <c r="AJ3" s="516">
        <v>10</v>
      </c>
      <c r="AK3" s="516">
        <f t="shared" ref="AK3:AK15" si="2">SUM(AC3:AJ3)</f>
        <v>6482</v>
      </c>
      <c r="AL3" s="516">
        <f>I3+K3</f>
        <v>0</v>
      </c>
      <c r="AM3" s="511">
        <f t="shared" ref="AM3:AM15" si="3">G3*2</f>
        <v>0</v>
      </c>
      <c r="AN3" s="516">
        <f>AC3/F3*AL3</f>
        <v>0</v>
      </c>
      <c r="AO3" s="516"/>
      <c r="AP3" s="516">
        <v>634.9</v>
      </c>
      <c r="AQ3" s="516">
        <f>SUM(AM3:AP3)</f>
        <v>634.9</v>
      </c>
      <c r="AR3" s="551">
        <f>SUM(AK3-AQ3)</f>
        <v>5847.1</v>
      </c>
      <c r="AS3" s="552"/>
      <c r="AT3" s="553" t="s">
        <v>184</v>
      </c>
      <c r="AU3" s="554"/>
    </row>
    <row r="4" s="497" customFormat="1" ht="30" customHeight="1" spans="1:46">
      <c r="A4" s="506">
        <v>2</v>
      </c>
      <c r="B4" s="512" t="s">
        <v>185</v>
      </c>
      <c r="C4" s="513" t="s">
        <v>186</v>
      </c>
      <c r="D4" s="514">
        <v>45444</v>
      </c>
      <c r="E4" s="515" t="s">
        <v>49</v>
      </c>
      <c r="F4" s="515">
        <v>31</v>
      </c>
      <c r="G4" s="516">
        <v>0</v>
      </c>
      <c r="H4" s="517">
        <v>0</v>
      </c>
      <c r="I4" s="517">
        <v>0</v>
      </c>
      <c r="J4" s="517">
        <v>0</v>
      </c>
      <c r="K4" s="517"/>
      <c r="L4" s="517">
        <v>0</v>
      </c>
      <c r="M4" s="516">
        <v>0</v>
      </c>
      <c r="N4" s="516">
        <v>0</v>
      </c>
      <c r="O4" s="516">
        <v>0</v>
      </c>
      <c r="P4" s="516">
        <v>0</v>
      </c>
      <c r="Q4" s="538"/>
      <c r="R4" s="516"/>
      <c r="S4" s="516"/>
      <c r="T4" s="516"/>
      <c r="U4" s="515"/>
      <c r="V4" s="540">
        <v>1000</v>
      </c>
      <c r="W4" s="541">
        <v>500</v>
      </c>
      <c r="X4" s="541">
        <v>500</v>
      </c>
      <c r="Y4" s="541">
        <v>300</v>
      </c>
      <c r="Z4" s="541">
        <v>200</v>
      </c>
      <c r="AA4" s="541">
        <v>200</v>
      </c>
      <c r="AB4" s="541">
        <v>300</v>
      </c>
      <c r="AC4" s="548">
        <f t="shared" si="0"/>
        <v>3000</v>
      </c>
      <c r="AD4" s="511"/>
      <c r="AE4" s="516">
        <f t="shared" si="1"/>
        <v>0</v>
      </c>
      <c r="AF4" s="516">
        <f t="shared" ref="AF4:AF15" si="4">T4</f>
        <v>0</v>
      </c>
      <c r="AG4" s="511">
        <v>0</v>
      </c>
      <c r="AH4" s="511">
        <v>0</v>
      </c>
      <c r="AI4" s="511">
        <v>0</v>
      </c>
      <c r="AJ4" s="516"/>
      <c r="AK4" s="516">
        <f t="shared" si="2"/>
        <v>3000</v>
      </c>
      <c r="AL4" s="516">
        <f>I4+K4</f>
        <v>0</v>
      </c>
      <c r="AM4" s="511">
        <f t="shared" si="3"/>
        <v>0</v>
      </c>
      <c r="AN4" s="516">
        <f>AC4/F4*AL4</f>
        <v>0</v>
      </c>
      <c r="AO4" s="511">
        <v>0</v>
      </c>
      <c r="AP4" s="511"/>
      <c r="AQ4" s="516">
        <f t="shared" ref="AQ3:AQ15" si="5">SUM(AM4:AP4)</f>
        <v>0</v>
      </c>
      <c r="AR4" s="551">
        <f t="shared" ref="AR4:AR15" si="6">SUM(AK4-AQ4)</f>
        <v>3000</v>
      </c>
      <c r="AS4" s="215"/>
      <c r="AT4" s="555"/>
    </row>
    <row r="5" s="497" customFormat="1" ht="30" customHeight="1" spans="1:46">
      <c r="A5" s="506">
        <v>3</v>
      </c>
      <c r="B5" s="512" t="s">
        <v>187</v>
      </c>
      <c r="C5" s="513" t="s">
        <v>186</v>
      </c>
      <c r="D5" s="514">
        <v>45456</v>
      </c>
      <c r="E5" s="515" t="s">
        <v>49</v>
      </c>
      <c r="F5" s="515">
        <v>31</v>
      </c>
      <c r="G5" s="516">
        <v>0</v>
      </c>
      <c r="H5" s="517">
        <v>0</v>
      </c>
      <c r="I5" s="517"/>
      <c r="J5" s="517">
        <v>0</v>
      </c>
      <c r="K5" s="517"/>
      <c r="L5" s="517">
        <v>0</v>
      </c>
      <c r="M5" s="516">
        <v>0</v>
      </c>
      <c r="N5" s="516">
        <v>0</v>
      </c>
      <c r="O5" s="516">
        <v>0</v>
      </c>
      <c r="P5" s="516">
        <v>0</v>
      </c>
      <c r="Q5" s="516"/>
      <c r="R5" s="516"/>
      <c r="S5" s="516"/>
      <c r="T5" s="516"/>
      <c r="U5" s="515"/>
      <c r="V5" s="540">
        <v>1000</v>
      </c>
      <c r="W5" s="541">
        <v>500</v>
      </c>
      <c r="X5" s="541">
        <v>500</v>
      </c>
      <c r="Y5" s="541">
        <v>300</v>
      </c>
      <c r="Z5" s="541">
        <v>200</v>
      </c>
      <c r="AA5" s="541">
        <v>200</v>
      </c>
      <c r="AB5" s="541">
        <v>300</v>
      </c>
      <c r="AC5" s="548">
        <f t="shared" si="0"/>
        <v>3000</v>
      </c>
      <c r="AD5" s="511"/>
      <c r="AE5" s="516">
        <f t="shared" si="1"/>
        <v>0</v>
      </c>
      <c r="AF5" s="516">
        <f t="shared" si="4"/>
        <v>0</v>
      </c>
      <c r="AG5" s="516">
        <v>0</v>
      </c>
      <c r="AH5" s="516">
        <v>0</v>
      </c>
      <c r="AI5" s="516">
        <v>0</v>
      </c>
      <c r="AJ5" s="516"/>
      <c r="AK5" s="516">
        <f t="shared" si="2"/>
        <v>3000</v>
      </c>
      <c r="AL5" s="516"/>
      <c r="AM5" s="511">
        <f t="shared" si="3"/>
        <v>0</v>
      </c>
      <c r="AN5" s="516"/>
      <c r="AO5" s="516">
        <v>0</v>
      </c>
      <c r="AP5" s="511"/>
      <c r="AQ5" s="516">
        <f t="shared" si="5"/>
        <v>0</v>
      </c>
      <c r="AR5" s="551">
        <f t="shared" si="6"/>
        <v>3000</v>
      </c>
      <c r="AS5" s="215"/>
      <c r="AT5" s="556"/>
    </row>
    <row r="6" s="497" customFormat="1" ht="30" customHeight="1" spans="1:45">
      <c r="A6" s="506">
        <v>4</v>
      </c>
      <c r="B6" s="512" t="s">
        <v>188</v>
      </c>
      <c r="C6" s="513" t="s">
        <v>186</v>
      </c>
      <c r="D6" s="514">
        <v>45456</v>
      </c>
      <c r="E6" s="515" t="s">
        <v>49</v>
      </c>
      <c r="F6" s="515">
        <v>31</v>
      </c>
      <c r="G6" s="516">
        <v>0</v>
      </c>
      <c r="H6" s="517">
        <v>0</v>
      </c>
      <c r="I6" s="517">
        <v>0</v>
      </c>
      <c r="J6" s="517">
        <v>0</v>
      </c>
      <c r="K6" s="517"/>
      <c r="L6" s="517">
        <v>0</v>
      </c>
      <c r="M6" s="516">
        <v>0</v>
      </c>
      <c r="N6" s="516">
        <v>0</v>
      </c>
      <c r="O6" s="516">
        <v>0</v>
      </c>
      <c r="P6" s="516">
        <v>0</v>
      </c>
      <c r="Q6" s="538"/>
      <c r="R6" s="516"/>
      <c r="S6" s="516"/>
      <c r="T6" s="516"/>
      <c r="U6" s="515"/>
      <c r="V6" s="540">
        <v>1000</v>
      </c>
      <c r="W6" s="541">
        <v>500</v>
      </c>
      <c r="X6" s="541">
        <v>500</v>
      </c>
      <c r="Y6" s="541">
        <v>300</v>
      </c>
      <c r="Z6" s="541">
        <v>200</v>
      </c>
      <c r="AA6" s="541">
        <v>200</v>
      </c>
      <c r="AB6" s="541">
        <v>300</v>
      </c>
      <c r="AC6" s="548">
        <f t="shared" si="0"/>
        <v>3000</v>
      </c>
      <c r="AD6" s="511"/>
      <c r="AE6" s="516">
        <f t="shared" si="1"/>
        <v>0</v>
      </c>
      <c r="AF6" s="516">
        <f t="shared" si="4"/>
        <v>0</v>
      </c>
      <c r="AG6" s="511">
        <v>0</v>
      </c>
      <c r="AH6" s="511">
        <v>0</v>
      </c>
      <c r="AI6" s="511">
        <v>0</v>
      </c>
      <c r="AJ6" s="516"/>
      <c r="AK6" s="516">
        <f t="shared" si="2"/>
        <v>3000</v>
      </c>
      <c r="AL6" s="516">
        <f t="shared" ref="AL6:AL15" si="7">I6+K6</f>
        <v>0</v>
      </c>
      <c r="AM6" s="511">
        <f t="shared" si="3"/>
        <v>0</v>
      </c>
      <c r="AN6" s="516">
        <f t="shared" ref="AN6:AN15" si="8">AC6/F6*AL6</f>
        <v>0</v>
      </c>
      <c r="AO6" s="511">
        <v>0</v>
      </c>
      <c r="AP6" s="511"/>
      <c r="AQ6" s="516">
        <f t="shared" si="5"/>
        <v>0</v>
      </c>
      <c r="AR6" s="551">
        <f t="shared" si="6"/>
        <v>3000</v>
      </c>
      <c r="AS6" s="557"/>
    </row>
    <row r="7" s="497" customFormat="1" ht="30" customHeight="1" spans="1:45">
      <c r="A7" s="506">
        <v>5</v>
      </c>
      <c r="B7" s="512" t="s">
        <v>189</v>
      </c>
      <c r="C7" s="513" t="s">
        <v>190</v>
      </c>
      <c r="D7" s="514">
        <v>45466</v>
      </c>
      <c r="E7" s="515" t="s">
        <v>49</v>
      </c>
      <c r="F7" s="515">
        <v>31</v>
      </c>
      <c r="G7" s="516">
        <v>0</v>
      </c>
      <c r="H7" s="517">
        <v>0</v>
      </c>
      <c r="I7" s="517">
        <v>0</v>
      </c>
      <c r="J7" s="517">
        <v>0</v>
      </c>
      <c r="K7" s="517"/>
      <c r="L7" s="517">
        <v>0</v>
      </c>
      <c r="M7" s="516">
        <v>0</v>
      </c>
      <c r="N7" s="516">
        <v>0</v>
      </c>
      <c r="O7" s="516">
        <v>0</v>
      </c>
      <c r="P7" s="516">
        <v>0</v>
      </c>
      <c r="Q7" s="538"/>
      <c r="R7" s="516"/>
      <c r="S7" s="516"/>
      <c r="T7" s="516"/>
      <c r="U7" s="515"/>
      <c r="V7" s="540">
        <v>1200</v>
      </c>
      <c r="W7" s="541">
        <v>500</v>
      </c>
      <c r="X7" s="541">
        <v>500</v>
      </c>
      <c r="Y7" s="541">
        <v>300</v>
      </c>
      <c r="Z7" s="541">
        <v>200</v>
      </c>
      <c r="AA7" s="541">
        <v>200</v>
      </c>
      <c r="AB7" s="541">
        <v>300</v>
      </c>
      <c r="AC7" s="548">
        <f t="shared" si="0"/>
        <v>3200</v>
      </c>
      <c r="AD7" s="511"/>
      <c r="AE7" s="516">
        <f t="shared" si="1"/>
        <v>0</v>
      </c>
      <c r="AF7" s="516">
        <f t="shared" si="4"/>
        <v>0</v>
      </c>
      <c r="AG7" s="516">
        <v>0</v>
      </c>
      <c r="AH7" s="516">
        <v>0</v>
      </c>
      <c r="AI7" s="516">
        <v>0</v>
      </c>
      <c r="AJ7" s="516"/>
      <c r="AK7" s="516">
        <f t="shared" si="2"/>
        <v>3200</v>
      </c>
      <c r="AL7" s="516">
        <f t="shared" si="7"/>
        <v>0</v>
      </c>
      <c r="AM7" s="511">
        <f t="shared" si="3"/>
        <v>0</v>
      </c>
      <c r="AN7" s="516">
        <f t="shared" si="8"/>
        <v>0</v>
      </c>
      <c r="AO7" s="516">
        <v>0</v>
      </c>
      <c r="AP7" s="511"/>
      <c r="AQ7" s="516">
        <f t="shared" si="5"/>
        <v>0</v>
      </c>
      <c r="AR7" s="551">
        <f t="shared" si="6"/>
        <v>3200</v>
      </c>
      <c r="AS7" s="511"/>
    </row>
    <row r="8" s="497" customFormat="1" ht="30" customHeight="1" spans="1:45">
      <c r="A8" s="506">
        <v>6</v>
      </c>
      <c r="B8" s="512" t="s">
        <v>191</v>
      </c>
      <c r="C8" s="513" t="s">
        <v>186</v>
      </c>
      <c r="D8" s="514">
        <v>45464</v>
      </c>
      <c r="E8" s="515" t="s">
        <v>49</v>
      </c>
      <c r="F8" s="515">
        <v>31</v>
      </c>
      <c r="G8" s="516">
        <v>0</v>
      </c>
      <c r="H8" s="517">
        <v>0</v>
      </c>
      <c r="I8" s="517">
        <v>0</v>
      </c>
      <c r="J8" s="517">
        <v>0</v>
      </c>
      <c r="K8" s="517"/>
      <c r="L8" s="517">
        <v>0</v>
      </c>
      <c r="M8" s="516">
        <v>0</v>
      </c>
      <c r="N8" s="516">
        <v>0</v>
      </c>
      <c r="O8" s="516">
        <v>0</v>
      </c>
      <c r="P8" s="516">
        <v>0</v>
      </c>
      <c r="Q8" s="538"/>
      <c r="R8" s="516"/>
      <c r="S8" s="516"/>
      <c r="T8" s="516"/>
      <c r="U8" s="515"/>
      <c r="V8" s="540">
        <v>1000</v>
      </c>
      <c r="W8" s="541">
        <v>500</v>
      </c>
      <c r="X8" s="541">
        <v>500</v>
      </c>
      <c r="Y8" s="541">
        <v>300</v>
      </c>
      <c r="Z8" s="541">
        <v>200</v>
      </c>
      <c r="AA8" s="541">
        <v>200</v>
      </c>
      <c r="AB8" s="541">
        <v>300</v>
      </c>
      <c r="AC8" s="548">
        <f t="shared" si="0"/>
        <v>3000</v>
      </c>
      <c r="AD8" s="511"/>
      <c r="AE8" s="516">
        <f t="shared" si="1"/>
        <v>0</v>
      </c>
      <c r="AF8" s="516">
        <f t="shared" si="4"/>
        <v>0</v>
      </c>
      <c r="AG8" s="511">
        <v>0</v>
      </c>
      <c r="AH8" s="511">
        <v>0</v>
      </c>
      <c r="AI8" s="511">
        <v>0</v>
      </c>
      <c r="AJ8" s="516"/>
      <c r="AK8" s="516">
        <f t="shared" si="2"/>
        <v>3000</v>
      </c>
      <c r="AL8" s="516">
        <f t="shared" si="7"/>
        <v>0</v>
      </c>
      <c r="AM8" s="511">
        <f t="shared" si="3"/>
        <v>0</v>
      </c>
      <c r="AN8" s="516">
        <f t="shared" si="8"/>
        <v>0</v>
      </c>
      <c r="AO8" s="511">
        <v>0</v>
      </c>
      <c r="AP8" s="511"/>
      <c r="AQ8" s="516">
        <f t="shared" si="5"/>
        <v>0</v>
      </c>
      <c r="AR8" s="551">
        <f t="shared" si="6"/>
        <v>3000</v>
      </c>
      <c r="AS8" s="511"/>
    </row>
    <row r="9" s="497" customFormat="1" ht="30" customHeight="1" spans="1:45">
      <c r="A9" s="506">
        <v>7</v>
      </c>
      <c r="B9" s="512" t="s">
        <v>192</v>
      </c>
      <c r="C9" s="513" t="s">
        <v>186</v>
      </c>
      <c r="D9" s="514">
        <v>45463</v>
      </c>
      <c r="E9" s="515" t="s">
        <v>49</v>
      </c>
      <c r="F9" s="515">
        <v>31</v>
      </c>
      <c r="G9" s="516">
        <v>0</v>
      </c>
      <c r="H9" s="517">
        <v>0</v>
      </c>
      <c r="I9" s="517">
        <v>0</v>
      </c>
      <c r="J9" s="517">
        <v>0</v>
      </c>
      <c r="K9" s="517"/>
      <c r="L9" s="517">
        <v>0</v>
      </c>
      <c r="M9" s="516">
        <v>0</v>
      </c>
      <c r="N9" s="516">
        <v>0</v>
      </c>
      <c r="O9" s="516">
        <v>0</v>
      </c>
      <c r="P9" s="516">
        <v>0</v>
      </c>
      <c r="Q9" s="538"/>
      <c r="R9" s="516"/>
      <c r="S9" s="516"/>
      <c r="T9" s="516"/>
      <c r="U9" s="515"/>
      <c r="V9" s="540">
        <v>800</v>
      </c>
      <c r="W9" s="541">
        <v>500</v>
      </c>
      <c r="X9" s="541">
        <v>500</v>
      </c>
      <c r="Y9" s="541">
        <v>300</v>
      </c>
      <c r="Z9" s="541">
        <v>200</v>
      </c>
      <c r="AA9" s="541">
        <v>200</v>
      </c>
      <c r="AB9" s="541">
        <v>300</v>
      </c>
      <c r="AC9" s="548">
        <f t="shared" si="0"/>
        <v>2800</v>
      </c>
      <c r="AD9" s="511"/>
      <c r="AE9" s="516">
        <f t="shared" si="1"/>
        <v>0</v>
      </c>
      <c r="AF9" s="516">
        <f t="shared" si="4"/>
        <v>0</v>
      </c>
      <c r="AG9" s="516">
        <v>0</v>
      </c>
      <c r="AH9" s="516">
        <v>0</v>
      </c>
      <c r="AI9" s="516">
        <v>0</v>
      </c>
      <c r="AJ9" s="516"/>
      <c r="AK9" s="516">
        <f t="shared" si="2"/>
        <v>2800</v>
      </c>
      <c r="AL9" s="516">
        <f t="shared" si="7"/>
        <v>0</v>
      </c>
      <c r="AM9" s="511">
        <f t="shared" si="3"/>
        <v>0</v>
      </c>
      <c r="AN9" s="516">
        <f t="shared" si="8"/>
        <v>0</v>
      </c>
      <c r="AO9" s="516">
        <v>0</v>
      </c>
      <c r="AP9" s="511"/>
      <c r="AQ9" s="516">
        <f t="shared" si="5"/>
        <v>0</v>
      </c>
      <c r="AR9" s="551">
        <f t="shared" si="6"/>
        <v>2800</v>
      </c>
      <c r="AS9" s="511"/>
    </row>
    <row r="10" s="497" customFormat="1" ht="30" customHeight="1" spans="1:45">
      <c r="A10" s="506">
        <v>8</v>
      </c>
      <c r="B10" s="512" t="s">
        <v>193</v>
      </c>
      <c r="C10" s="513" t="s">
        <v>186</v>
      </c>
      <c r="D10" s="514">
        <v>45466</v>
      </c>
      <c r="E10" s="515" t="s">
        <v>49</v>
      </c>
      <c r="F10" s="515">
        <v>31</v>
      </c>
      <c r="G10" s="516">
        <v>0</v>
      </c>
      <c r="H10" s="517">
        <v>0</v>
      </c>
      <c r="I10" s="517">
        <v>0</v>
      </c>
      <c r="J10" s="517">
        <v>0</v>
      </c>
      <c r="K10" s="517"/>
      <c r="L10" s="517">
        <v>0</v>
      </c>
      <c r="M10" s="516">
        <v>0</v>
      </c>
      <c r="N10" s="516">
        <v>0</v>
      </c>
      <c r="O10" s="516">
        <v>0</v>
      </c>
      <c r="P10" s="516">
        <v>0</v>
      </c>
      <c r="Q10" s="538"/>
      <c r="R10" s="516"/>
      <c r="S10" s="516"/>
      <c r="T10" s="516"/>
      <c r="U10" s="515"/>
      <c r="V10" s="540">
        <v>800</v>
      </c>
      <c r="W10" s="541">
        <v>500</v>
      </c>
      <c r="X10" s="541">
        <v>500</v>
      </c>
      <c r="Y10" s="541">
        <v>300</v>
      </c>
      <c r="Z10" s="541">
        <v>200</v>
      </c>
      <c r="AA10" s="541">
        <v>200</v>
      </c>
      <c r="AB10" s="541">
        <v>300</v>
      </c>
      <c r="AC10" s="548">
        <f t="shared" si="0"/>
        <v>2800</v>
      </c>
      <c r="AD10" s="511"/>
      <c r="AE10" s="516">
        <f t="shared" si="1"/>
        <v>0</v>
      </c>
      <c r="AF10" s="516">
        <f t="shared" si="4"/>
        <v>0</v>
      </c>
      <c r="AG10" s="516">
        <v>0</v>
      </c>
      <c r="AH10" s="516">
        <v>0</v>
      </c>
      <c r="AI10" s="516">
        <v>0</v>
      </c>
      <c r="AJ10" s="516"/>
      <c r="AK10" s="516">
        <f t="shared" si="2"/>
        <v>2800</v>
      </c>
      <c r="AL10" s="516">
        <f t="shared" si="7"/>
        <v>0</v>
      </c>
      <c r="AM10" s="511">
        <f t="shared" si="3"/>
        <v>0</v>
      </c>
      <c r="AN10" s="516">
        <f t="shared" si="8"/>
        <v>0</v>
      </c>
      <c r="AO10" s="516">
        <v>0</v>
      </c>
      <c r="AP10" s="511"/>
      <c r="AQ10" s="516">
        <f t="shared" si="5"/>
        <v>0</v>
      </c>
      <c r="AR10" s="551">
        <f t="shared" si="6"/>
        <v>2800</v>
      </c>
      <c r="AS10" s="511"/>
    </row>
    <row r="11" s="497" customFormat="1" ht="30" customHeight="1" spans="1:45">
      <c r="A11" s="506">
        <v>9</v>
      </c>
      <c r="B11" s="512" t="s">
        <v>194</v>
      </c>
      <c r="C11" s="513" t="s">
        <v>190</v>
      </c>
      <c r="D11" s="514">
        <v>45467</v>
      </c>
      <c r="E11" s="515" t="s">
        <v>49</v>
      </c>
      <c r="F11" s="515">
        <v>31</v>
      </c>
      <c r="G11" s="516">
        <v>0</v>
      </c>
      <c r="H11" s="517">
        <v>0</v>
      </c>
      <c r="I11" s="517">
        <v>0</v>
      </c>
      <c r="J11" s="517">
        <v>0</v>
      </c>
      <c r="K11" s="517"/>
      <c r="L11" s="517">
        <v>0</v>
      </c>
      <c r="M11" s="516">
        <v>0</v>
      </c>
      <c r="N11" s="516">
        <v>0</v>
      </c>
      <c r="O11" s="516">
        <v>0</v>
      </c>
      <c r="P11" s="516">
        <v>0</v>
      </c>
      <c r="Q11" s="538"/>
      <c r="R11" s="516"/>
      <c r="S11" s="516"/>
      <c r="T11" s="516"/>
      <c r="U11" s="515"/>
      <c r="V11" s="540">
        <v>1200</v>
      </c>
      <c r="W11" s="541">
        <v>500</v>
      </c>
      <c r="X11" s="541">
        <v>500</v>
      </c>
      <c r="Y11" s="541">
        <v>300</v>
      </c>
      <c r="Z11" s="541">
        <v>200</v>
      </c>
      <c r="AA11" s="541">
        <v>200</v>
      </c>
      <c r="AB11" s="541">
        <v>300</v>
      </c>
      <c r="AC11" s="548">
        <f t="shared" si="0"/>
        <v>3200</v>
      </c>
      <c r="AD11" s="511"/>
      <c r="AE11" s="516">
        <f t="shared" si="1"/>
        <v>0</v>
      </c>
      <c r="AF11" s="516">
        <f t="shared" si="4"/>
        <v>0</v>
      </c>
      <c r="AG11" s="511">
        <v>0</v>
      </c>
      <c r="AH11" s="511">
        <v>0</v>
      </c>
      <c r="AI11" s="511">
        <v>0</v>
      </c>
      <c r="AJ11" s="516"/>
      <c r="AK11" s="516">
        <f t="shared" si="2"/>
        <v>3200</v>
      </c>
      <c r="AL11" s="516">
        <f t="shared" si="7"/>
        <v>0</v>
      </c>
      <c r="AM11" s="511">
        <f t="shared" si="3"/>
        <v>0</v>
      </c>
      <c r="AN11" s="516">
        <f t="shared" si="8"/>
        <v>0</v>
      </c>
      <c r="AO11" s="511">
        <v>0</v>
      </c>
      <c r="AP11" s="511"/>
      <c r="AQ11" s="516">
        <f t="shared" si="5"/>
        <v>0</v>
      </c>
      <c r="AR11" s="551">
        <f t="shared" si="6"/>
        <v>3200</v>
      </c>
      <c r="AS11" s="511"/>
    </row>
    <row r="12" s="497" customFormat="1" ht="30" customHeight="1" spans="1:46">
      <c r="A12" s="506">
        <v>10</v>
      </c>
      <c r="B12" s="512" t="s">
        <v>195</v>
      </c>
      <c r="C12" s="513" t="s">
        <v>196</v>
      </c>
      <c r="D12" s="514">
        <v>45470</v>
      </c>
      <c r="E12" s="515" t="s">
        <v>49</v>
      </c>
      <c r="F12" s="515">
        <v>31</v>
      </c>
      <c r="G12" s="516">
        <v>0</v>
      </c>
      <c r="H12" s="517">
        <v>0</v>
      </c>
      <c r="I12" s="517">
        <v>0</v>
      </c>
      <c r="J12" s="517">
        <v>0</v>
      </c>
      <c r="K12" s="517"/>
      <c r="L12" s="517">
        <v>0</v>
      </c>
      <c r="M12" s="516">
        <v>0</v>
      </c>
      <c r="N12" s="516">
        <v>0</v>
      </c>
      <c r="O12" s="516">
        <v>0</v>
      </c>
      <c r="P12" s="516">
        <v>0</v>
      </c>
      <c r="Q12" s="538"/>
      <c r="R12" s="516"/>
      <c r="S12" s="516"/>
      <c r="T12" s="516"/>
      <c r="U12" s="542"/>
      <c r="V12" s="540">
        <v>1500</v>
      </c>
      <c r="W12" s="541">
        <v>500</v>
      </c>
      <c r="X12" s="541">
        <v>500</v>
      </c>
      <c r="Y12" s="541">
        <v>300</v>
      </c>
      <c r="Z12" s="541">
        <v>200</v>
      </c>
      <c r="AA12" s="541">
        <v>200</v>
      </c>
      <c r="AB12" s="541">
        <v>300</v>
      </c>
      <c r="AC12" s="548">
        <f t="shared" si="0"/>
        <v>3500</v>
      </c>
      <c r="AD12" s="511"/>
      <c r="AE12" s="516">
        <f t="shared" si="1"/>
        <v>0</v>
      </c>
      <c r="AF12" s="516">
        <f t="shared" si="4"/>
        <v>0</v>
      </c>
      <c r="AG12" s="511">
        <v>0</v>
      </c>
      <c r="AH12" s="511">
        <v>0</v>
      </c>
      <c r="AI12" s="511">
        <v>0</v>
      </c>
      <c r="AJ12" s="516"/>
      <c r="AK12" s="516">
        <f t="shared" si="2"/>
        <v>3500</v>
      </c>
      <c r="AL12" s="516">
        <f t="shared" si="7"/>
        <v>0</v>
      </c>
      <c r="AM12" s="511">
        <f t="shared" si="3"/>
        <v>0</v>
      </c>
      <c r="AN12" s="516">
        <f t="shared" si="8"/>
        <v>0</v>
      </c>
      <c r="AO12" s="511">
        <v>0</v>
      </c>
      <c r="AP12" s="511"/>
      <c r="AQ12" s="516">
        <f t="shared" si="5"/>
        <v>0</v>
      </c>
      <c r="AR12" s="551">
        <f t="shared" si="6"/>
        <v>3500</v>
      </c>
      <c r="AS12" s="558"/>
      <c r="AT12" s="559"/>
    </row>
    <row r="13" s="497" customFormat="1" ht="30" customHeight="1" spans="1:45">
      <c r="A13" s="506">
        <v>11</v>
      </c>
      <c r="B13" s="512" t="s">
        <v>197</v>
      </c>
      <c r="C13" s="513" t="s">
        <v>186</v>
      </c>
      <c r="D13" s="514">
        <v>45465</v>
      </c>
      <c r="E13" s="515" t="s">
        <v>49</v>
      </c>
      <c r="F13" s="515">
        <v>31</v>
      </c>
      <c r="G13" s="516">
        <v>0</v>
      </c>
      <c r="H13" s="517">
        <v>0</v>
      </c>
      <c r="I13" s="517">
        <v>0</v>
      </c>
      <c r="J13" s="517">
        <v>0</v>
      </c>
      <c r="K13" s="517"/>
      <c r="L13" s="517">
        <v>0</v>
      </c>
      <c r="M13" s="516">
        <v>0</v>
      </c>
      <c r="N13" s="516">
        <v>0</v>
      </c>
      <c r="O13" s="516">
        <v>0</v>
      </c>
      <c r="P13" s="516">
        <v>0</v>
      </c>
      <c r="Q13" s="538"/>
      <c r="R13" s="516"/>
      <c r="S13" s="516"/>
      <c r="T13" s="516"/>
      <c r="U13" s="515"/>
      <c r="V13" s="540">
        <v>1000</v>
      </c>
      <c r="W13" s="541">
        <v>500</v>
      </c>
      <c r="X13" s="541">
        <v>500</v>
      </c>
      <c r="Y13" s="541">
        <v>300</v>
      </c>
      <c r="Z13" s="541">
        <v>200</v>
      </c>
      <c r="AA13" s="541">
        <v>200</v>
      </c>
      <c r="AB13" s="541">
        <v>300</v>
      </c>
      <c r="AC13" s="548">
        <f t="shared" si="0"/>
        <v>3000</v>
      </c>
      <c r="AD13" s="511"/>
      <c r="AE13" s="516">
        <f t="shared" si="1"/>
        <v>0</v>
      </c>
      <c r="AF13" s="516">
        <f t="shared" si="4"/>
        <v>0</v>
      </c>
      <c r="AG13" s="511">
        <v>0</v>
      </c>
      <c r="AH13" s="511">
        <v>0</v>
      </c>
      <c r="AI13" s="511">
        <v>0</v>
      </c>
      <c r="AJ13" s="516"/>
      <c r="AK13" s="516">
        <f t="shared" si="2"/>
        <v>3000</v>
      </c>
      <c r="AL13" s="516">
        <f t="shared" si="7"/>
        <v>0</v>
      </c>
      <c r="AM13" s="511">
        <f t="shared" si="3"/>
        <v>0</v>
      </c>
      <c r="AN13" s="516">
        <f t="shared" si="8"/>
        <v>0</v>
      </c>
      <c r="AO13" s="511">
        <v>0</v>
      </c>
      <c r="AP13" s="511"/>
      <c r="AQ13" s="516">
        <f t="shared" si="5"/>
        <v>0</v>
      </c>
      <c r="AR13" s="551">
        <f t="shared" si="6"/>
        <v>3000</v>
      </c>
      <c r="AS13" s="560"/>
    </row>
    <row r="14" s="497" customFormat="1" ht="30" customHeight="1" spans="1:45">
      <c r="A14" s="506">
        <v>12</v>
      </c>
      <c r="B14" s="518" t="s">
        <v>198</v>
      </c>
      <c r="C14" s="519" t="s">
        <v>186</v>
      </c>
      <c r="D14" s="520">
        <v>45722</v>
      </c>
      <c r="E14" s="521" t="s">
        <v>49</v>
      </c>
      <c r="F14" s="515">
        <v>31</v>
      </c>
      <c r="G14" s="516">
        <v>0</v>
      </c>
      <c r="H14" s="517">
        <v>0</v>
      </c>
      <c r="I14" s="517">
        <v>0</v>
      </c>
      <c r="J14" s="517">
        <v>0</v>
      </c>
      <c r="K14" s="517"/>
      <c r="L14" s="517">
        <v>0</v>
      </c>
      <c r="M14" s="516">
        <v>0</v>
      </c>
      <c r="N14" s="516">
        <v>0</v>
      </c>
      <c r="O14" s="516">
        <v>0</v>
      </c>
      <c r="P14" s="516">
        <v>0</v>
      </c>
      <c r="Q14" s="538"/>
      <c r="R14" s="516"/>
      <c r="S14" s="516"/>
      <c r="T14" s="516"/>
      <c r="U14" s="521"/>
      <c r="V14" s="540">
        <v>1000</v>
      </c>
      <c r="W14" s="541">
        <v>500</v>
      </c>
      <c r="X14" s="541">
        <v>500</v>
      </c>
      <c r="Y14" s="541">
        <v>300</v>
      </c>
      <c r="Z14" s="541">
        <v>200</v>
      </c>
      <c r="AA14" s="541">
        <v>200</v>
      </c>
      <c r="AB14" s="541">
        <v>300</v>
      </c>
      <c r="AC14" s="548">
        <f t="shared" si="0"/>
        <v>3000</v>
      </c>
      <c r="AD14" s="511"/>
      <c r="AE14" s="516">
        <f t="shared" si="1"/>
        <v>0</v>
      </c>
      <c r="AF14" s="516">
        <f t="shared" si="4"/>
        <v>0</v>
      </c>
      <c r="AG14" s="511">
        <v>0</v>
      </c>
      <c r="AH14" s="511">
        <v>0</v>
      </c>
      <c r="AI14" s="511">
        <v>0</v>
      </c>
      <c r="AJ14" s="516"/>
      <c r="AK14" s="516">
        <f t="shared" si="2"/>
        <v>3000</v>
      </c>
      <c r="AL14" s="516">
        <f t="shared" si="7"/>
        <v>0</v>
      </c>
      <c r="AM14" s="511">
        <f t="shared" si="3"/>
        <v>0</v>
      </c>
      <c r="AN14" s="516">
        <f t="shared" si="8"/>
        <v>0</v>
      </c>
      <c r="AO14" s="511">
        <v>0</v>
      </c>
      <c r="AP14" s="511"/>
      <c r="AQ14" s="516">
        <f t="shared" si="5"/>
        <v>0</v>
      </c>
      <c r="AR14" s="551">
        <f t="shared" si="6"/>
        <v>3000</v>
      </c>
      <c r="AS14" s="511"/>
    </row>
    <row r="15" s="497" customFormat="1" ht="30" customHeight="1" spans="1:45">
      <c r="A15" s="506">
        <v>13</v>
      </c>
      <c r="B15" s="522" t="s">
        <v>199</v>
      </c>
      <c r="C15" s="523" t="s">
        <v>190</v>
      </c>
      <c r="D15" s="524">
        <v>45731</v>
      </c>
      <c r="E15" s="515" t="s">
        <v>49</v>
      </c>
      <c r="F15" s="525">
        <v>31</v>
      </c>
      <c r="G15" s="526"/>
      <c r="H15" s="527">
        <v>0</v>
      </c>
      <c r="I15" s="527">
        <v>0</v>
      </c>
      <c r="J15" s="527">
        <v>0</v>
      </c>
      <c r="K15" s="527"/>
      <c r="L15" s="527">
        <v>0</v>
      </c>
      <c r="M15" s="526">
        <v>0</v>
      </c>
      <c r="N15" s="526">
        <v>0</v>
      </c>
      <c r="O15" s="526">
        <v>0</v>
      </c>
      <c r="P15" s="526">
        <v>0</v>
      </c>
      <c r="Q15" s="538"/>
      <c r="R15" s="526"/>
      <c r="S15" s="526"/>
      <c r="T15" s="526"/>
      <c r="U15" s="525"/>
      <c r="V15" s="540">
        <v>1200</v>
      </c>
      <c r="W15" s="541">
        <v>500</v>
      </c>
      <c r="X15" s="541">
        <v>500</v>
      </c>
      <c r="Y15" s="541">
        <v>300</v>
      </c>
      <c r="Z15" s="541">
        <v>200</v>
      </c>
      <c r="AA15" s="541">
        <v>200</v>
      </c>
      <c r="AB15" s="541">
        <v>300</v>
      </c>
      <c r="AC15" s="548">
        <f t="shared" si="0"/>
        <v>3200</v>
      </c>
      <c r="AD15" s="511"/>
      <c r="AE15" s="516">
        <f t="shared" si="1"/>
        <v>0</v>
      </c>
      <c r="AF15" s="516">
        <f t="shared" si="4"/>
        <v>0</v>
      </c>
      <c r="AG15" s="511">
        <v>0</v>
      </c>
      <c r="AH15" s="511">
        <v>0</v>
      </c>
      <c r="AI15" s="511">
        <v>0</v>
      </c>
      <c r="AJ15" s="516"/>
      <c r="AK15" s="516">
        <f t="shared" si="2"/>
        <v>3200</v>
      </c>
      <c r="AL15" s="516">
        <f t="shared" si="7"/>
        <v>0</v>
      </c>
      <c r="AM15" s="511">
        <f t="shared" si="3"/>
        <v>0</v>
      </c>
      <c r="AN15" s="516">
        <f t="shared" si="8"/>
        <v>0</v>
      </c>
      <c r="AO15" s="511">
        <v>0</v>
      </c>
      <c r="AP15" s="511"/>
      <c r="AQ15" s="516">
        <f t="shared" si="5"/>
        <v>0</v>
      </c>
      <c r="AR15" s="551">
        <f t="shared" si="6"/>
        <v>3200</v>
      </c>
      <c r="AS15" s="511"/>
    </row>
    <row r="16" s="168" customFormat="1" ht="49" customHeight="1" spans="1:45">
      <c r="A16" s="528" t="s">
        <v>83</v>
      </c>
      <c r="B16" s="529"/>
      <c r="C16" s="530"/>
      <c r="D16" s="531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43"/>
      <c r="U16" s="543"/>
      <c r="V16" s="537">
        <f>SUM(V3:V15)</f>
        <v>15200</v>
      </c>
      <c r="W16" s="537">
        <f t="shared" ref="W16:AR16" si="9">SUM(W3:W15)</f>
        <v>6500</v>
      </c>
      <c r="X16" s="537">
        <f t="shared" si="9"/>
        <v>6500</v>
      </c>
      <c r="Y16" s="537">
        <f t="shared" si="9"/>
        <v>3900</v>
      </c>
      <c r="Z16" s="537">
        <f t="shared" si="9"/>
        <v>2800</v>
      </c>
      <c r="AA16" s="537">
        <f t="shared" si="9"/>
        <v>2600</v>
      </c>
      <c r="AB16" s="537">
        <f t="shared" si="9"/>
        <v>4200</v>
      </c>
      <c r="AC16" s="537">
        <f t="shared" si="9"/>
        <v>41700</v>
      </c>
      <c r="AD16" s="537">
        <f t="shared" si="9"/>
        <v>500</v>
      </c>
      <c r="AE16" s="537">
        <f t="shared" si="9"/>
        <v>0</v>
      </c>
      <c r="AF16" s="537">
        <f t="shared" si="9"/>
        <v>972</v>
      </c>
      <c r="AG16" s="537">
        <f t="shared" si="9"/>
        <v>0</v>
      </c>
      <c r="AH16" s="537">
        <f t="shared" si="9"/>
        <v>0</v>
      </c>
      <c r="AI16" s="537">
        <f t="shared" si="9"/>
        <v>0</v>
      </c>
      <c r="AJ16" s="537">
        <f t="shared" si="9"/>
        <v>10</v>
      </c>
      <c r="AK16" s="537">
        <f t="shared" si="9"/>
        <v>43182</v>
      </c>
      <c r="AL16" s="549">
        <f t="shared" si="9"/>
        <v>0</v>
      </c>
      <c r="AM16" s="549">
        <f t="shared" si="9"/>
        <v>0</v>
      </c>
      <c r="AN16" s="549">
        <f t="shared" si="9"/>
        <v>0</v>
      </c>
      <c r="AO16" s="549">
        <f t="shared" si="9"/>
        <v>0</v>
      </c>
      <c r="AP16" s="549">
        <f t="shared" si="9"/>
        <v>634.9</v>
      </c>
      <c r="AQ16" s="549">
        <f t="shared" si="9"/>
        <v>634.9</v>
      </c>
      <c r="AR16" s="549">
        <f t="shared" si="9"/>
        <v>42547.1</v>
      </c>
      <c r="AS16" s="549"/>
    </row>
    <row r="18" s="166" customFormat="1" customHeight="1" spans="1:45">
      <c r="A18" s="532"/>
      <c r="B18" s="533" t="s">
        <v>200</v>
      </c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44"/>
      <c r="U18" s="544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>
        <f>AK16-AQ16-AR16</f>
        <v>0</v>
      </c>
      <c r="AS18" s="545"/>
    </row>
  </sheetData>
  <mergeCells count="22">
    <mergeCell ref="I1:J1"/>
    <mergeCell ref="V1:AS1"/>
    <mergeCell ref="A16:B16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8"/>
  <sheetViews>
    <sheetView zoomScale="115" zoomScaleNormal="115" workbookViewId="0">
      <pane xSplit="6" ySplit="3" topLeftCell="G4" activePane="bottomRight" state="frozen"/>
      <selection/>
      <selection pane="topRight"/>
      <selection pane="bottomLeft"/>
      <selection pane="bottomRight" activeCell="AR5" sqref="AR5"/>
    </sheetView>
  </sheetViews>
  <sheetFormatPr defaultColWidth="4.34166666666667" defaultRowHeight="10.5"/>
  <cols>
    <col min="1" max="1" width="4.34166666666667" style="443" customWidth="1"/>
    <col min="2" max="2" width="15.7583333333333" style="441" customWidth="1"/>
    <col min="3" max="3" width="8.925" style="441" hidden="1" customWidth="1"/>
    <col min="4" max="4" width="9.575" style="441" hidden="1" customWidth="1"/>
    <col min="5" max="6" width="4.34166666666667" style="441" hidden="1" customWidth="1"/>
    <col min="7" max="7" width="7.19166666666667" style="441" hidden="1" customWidth="1"/>
    <col min="8" max="8" width="4.34166666666667" style="441" hidden="1" customWidth="1"/>
    <col min="9" max="9" width="4.86666666666667" style="441" hidden="1" customWidth="1"/>
    <col min="10" max="10" width="5.60833333333333" style="441" hidden="1" customWidth="1"/>
    <col min="11" max="11" width="8.775" style="441" hidden="1" customWidth="1"/>
    <col min="12" max="15" width="4.34166666666667" style="441" hidden="1" customWidth="1"/>
    <col min="16" max="16" width="7.3" style="441" hidden="1" customWidth="1"/>
    <col min="17" max="17" width="4.86666666666667" style="441" hidden="1" customWidth="1"/>
    <col min="18" max="18" width="5.5" style="441" hidden="1" customWidth="1"/>
    <col min="19" max="19" width="9.625" style="441" hidden="1" customWidth="1"/>
    <col min="20" max="20" width="7.08333333333333" style="441" hidden="1" customWidth="1"/>
    <col min="21" max="21" width="9.41666666666667" style="441" hidden="1" customWidth="1"/>
    <col min="22" max="22" width="8.56666666666667" style="441" hidden="1" customWidth="1"/>
    <col min="23" max="23" width="8.15" style="441" hidden="1" customWidth="1"/>
    <col min="24" max="24" width="9.95" style="441" hidden="1" customWidth="1"/>
    <col min="25" max="25" width="8.15" style="441" hidden="1" customWidth="1"/>
    <col min="26" max="26" width="7.83333333333333" style="441" hidden="1" customWidth="1"/>
    <col min="27" max="27" width="8.46666666666667" style="441" hidden="1" customWidth="1"/>
    <col min="28" max="28" width="8.69166666666667" style="441" customWidth="1"/>
    <col min="29" max="29" width="7.50833333333333" style="441" customWidth="1"/>
    <col min="30" max="30" width="5.81666666666667" style="441" customWidth="1"/>
    <col min="31" max="31" width="5.075" style="441" customWidth="1"/>
    <col min="32" max="32" width="8.25" style="441" customWidth="1"/>
    <col min="33" max="33" width="7.19166666666667" style="441" customWidth="1"/>
    <col min="34" max="34" width="5.39166666666667" style="441" customWidth="1"/>
    <col min="35" max="35" width="6.24166666666667" style="441" customWidth="1"/>
    <col min="36" max="36" width="5.5" style="441" customWidth="1"/>
    <col min="37" max="37" width="16.8166666666667" style="441" customWidth="1"/>
    <col min="38" max="38" width="5.975" style="441" customWidth="1"/>
    <col min="39" max="39" width="8.15" style="441" customWidth="1"/>
    <col min="40" max="40" width="6.76666666666667" style="441" customWidth="1"/>
    <col min="41" max="41" width="8.775" style="441" customWidth="1"/>
    <col min="42" max="42" width="7.93333333333333" style="441" customWidth="1"/>
    <col min="43" max="43" width="8.25" style="441" customWidth="1"/>
    <col min="44" max="44" width="15.125" style="441" customWidth="1"/>
    <col min="45" max="45" width="12.8" style="441" customWidth="1"/>
    <col min="46" max="46" width="11.7333333333333" style="441" customWidth="1"/>
    <col min="47" max="16381" width="4.34166666666667" style="441" customWidth="1"/>
    <col min="16382" max="16384" width="4.34166666666667" style="441"/>
  </cols>
  <sheetData>
    <row r="1" s="441" customFormat="1" spans="1:45">
      <c r="A1" s="444" t="s">
        <v>201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88"/>
    </row>
    <row r="2" s="441" customFormat="1" ht="21" spans="1:45">
      <c r="A2" s="446" t="s">
        <v>0</v>
      </c>
      <c r="B2" s="447" t="s">
        <v>1</v>
      </c>
      <c r="C2" s="447" t="s">
        <v>2</v>
      </c>
      <c r="D2" s="447" t="s">
        <v>3</v>
      </c>
      <c r="E2" s="447" t="s">
        <v>4</v>
      </c>
      <c r="F2" s="447" t="s">
        <v>202</v>
      </c>
      <c r="G2" s="447" t="s">
        <v>203</v>
      </c>
      <c r="H2" s="447" t="s">
        <v>7</v>
      </c>
      <c r="I2" s="447" t="s">
        <v>8</v>
      </c>
      <c r="J2" s="447" t="s">
        <v>9</v>
      </c>
      <c r="K2" s="447" t="s">
        <v>10</v>
      </c>
      <c r="L2" s="447" t="s">
        <v>11</v>
      </c>
      <c r="M2" s="447" t="s">
        <v>12</v>
      </c>
      <c r="N2" s="447" t="s">
        <v>13</v>
      </c>
      <c r="O2" s="447" t="s">
        <v>14</v>
      </c>
      <c r="P2" s="447" t="s">
        <v>15</v>
      </c>
      <c r="Q2" s="447" t="s">
        <v>16</v>
      </c>
      <c r="R2" s="447" t="s">
        <v>17</v>
      </c>
      <c r="S2" s="447" t="s">
        <v>18</v>
      </c>
      <c r="T2" s="447" t="s">
        <v>95</v>
      </c>
      <c r="U2" s="473" t="s">
        <v>21</v>
      </c>
      <c r="V2" s="473" t="s">
        <v>22</v>
      </c>
      <c r="W2" s="473" t="s">
        <v>23</v>
      </c>
      <c r="X2" s="473" t="s">
        <v>24</v>
      </c>
      <c r="Y2" s="473" t="s">
        <v>25</v>
      </c>
      <c r="Z2" s="473" t="s">
        <v>26</v>
      </c>
      <c r="AA2" s="473" t="s">
        <v>96</v>
      </c>
      <c r="AB2" s="484" t="s">
        <v>28</v>
      </c>
      <c r="AC2" s="473" t="s">
        <v>97</v>
      </c>
      <c r="AD2" s="473" t="s">
        <v>98</v>
      </c>
      <c r="AE2" s="484" t="s">
        <v>31</v>
      </c>
      <c r="AF2" s="485" t="s">
        <v>32</v>
      </c>
      <c r="AG2" s="487" t="s">
        <v>33</v>
      </c>
      <c r="AH2" s="487" t="s">
        <v>34</v>
      </c>
      <c r="AI2" s="487" t="s">
        <v>35</v>
      </c>
      <c r="AJ2" s="484" t="s">
        <v>95</v>
      </c>
      <c r="AK2" s="484" t="s">
        <v>36</v>
      </c>
      <c r="AL2" s="484" t="s">
        <v>37</v>
      </c>
      <c r="AM2" s="484" t="s">
        <v>39</v>
      </c>
      <c r="AN2" s="484" t="s">
        <v>38</v>
      </c>
      <c r="AO2" s="473" t="s">
        <v>204</v>
      </c>
      <c r="AP2" s="473" t="s">
        <v>205</v>
      </c>
      <c r="AQ2" s="484" t="s">
        <v>43</v>
      </c>
      <c r="AR2" s="484" t="s">
        <v>44</v>
      </c>
      <c r="AS2" s="488"/>
    </row>
    <row r="3" s="441" customFormat="1" ht="21" spans="1:45">
      <c r="A3" s="446"/>
      <c r="B3" s="447"/>
      <c r="C3" s="447"/>
      <c r="D3" s="447"/>
      <c r="E3" s="447"/>
      <c r="F3" s="447"/>
      <c r="G3" s="447"/>
      <c r="H3" s="447" t="s">
        <v>20</v>
      </c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73"/>
      <c r="V3" s="473"/>
      <c r="W3" s="473"/>
      <c r="X3" s="473"/>
      <c r="Y3" s="473"/>
      <c r="Z3" s="473"/>
      <c r="AA3" s="473"/>
      <c r="AB3" s="484"/>
      <c r="AC3" s="473"/>
      <c r="AD3" s="473"/>
      <c r="AE3" s="484"/>
      <c r="AF3" s="485"/>
      <c r="AG3" s="487"/>
      <c r="AH3" s="487"/>
      <c r="AI3" s="487"/>
      <c r="AJ3" s="484"/>
      <c r="AK3" s="484"/>
      <c r="AL3" s="484"/>
      <c r="AM3" s="484"/>
      <c r="AN3" s="484"/>
      <c r="AO3" s="473"/>
      <c r="AP3" s="473"/>
      <c r="AQ3" s="484"/>
      <c r="AR3" s="484"/>
      <c r="AS3" s="488"/>
    </row>
    <row r="4" s="441" customFormat="1" ht="42" customHeight="1" spans="1:46">
      <c r="A4" s="448">
        <v>1</v>
      </c>
      <c r="B4" s="449" t="s">
        <v>206</v>
      </c>
      <c r="C4" s="450" t="s">
        <v>77</v>
      </c>
      <c r="D4" s="451" t="s">
        <v>207</v>
      </c>
      <c r="E4" s="452" t="s">
        <v>49</v>
      </c>
      <c r="F4" s="453">
        <v>31</v>
      </c>
      <c r="G4" s="454">
        <v>0</v>
      </c>
      <c r="H4" s="455">
        <v>0</v>
      </c>
      <c r="I4" s="454">
        <v>0</v>
      </c>
      <c r="J4" s="454">
        <v>0</v>
      </c>
      <c r="K4" s="454">
        <v>0</v>
      </c>
      <c r="L4" s="454">
        <v>0</v>
      </c>
      <c r="M4" s="454">
        <v>0</v>
      </c>
      <c r="N4" s="454">
        <v>0</v>
      </c>
      <c r="O4" s="471"/>
      <c r="P4" s="471">
        <v>0</v>
      </c>
      <c r="Q4" s="471">
        <v>0</v>
      </c>
      <c r="R4" s="471">
        <v>0</v>
      </c>
      <c r="S4" s="474"/>
      <c r="T4" s="475"/>
      <c r="U4" s="476">
        <v>1500</v>
      </c>
      <c r="V4" s="477">
        <v>500</v>
      </c>
      <c r="W4" s="477">
        <v>500</v>
      </c>
      <c r="X4" s="477">
        <v>500</v>
      </c>
      <c r="Y4" s="477">
        <v>400</v>
      </c>
      <c r="Z4" s="477">
        <v>200</v>
      </c>
      <c r="AA4" s="477">
        <v>400</v>
      </c>
      <c r="AB4" s="477">
        <f>SUM(U4:AA4)</f>
        <v>4000</v>
      </c>
      <c r="AC4" s="486">
        <v>500</v>
      </c>
      <c r="AD4" s="486">
        <v>10</v>
      </c>
      <c r="AE4" s="486">
        <f>L4</f>
        <v>0</v>
      </c>
      <c r="AF4" s="486">
        <v>540</v>
      </c>
      <c r="AG4" s="486">
        <v>0</v>
      </c>
      <c r="AH4" s="486">
        <v>0</v>
      </c>
      <c r="AI4" s="486">
        <v>0</v>
      </c>
      <c r="AJ4" s="486">
        <f>T4</f>
        <v>0</v>
      </c>
      <c r="AK4" s="486">
        <f>SUM(AB4:AJ4)</f>
        <v>5050</v>
      </c>
      <c r="AL4" s="486">
        <f>H4</f>
        <v>0</v>
      </c>
      <c r="AM4" s="486">
        <f>AB4/F4*AL4</f>
        <v>0</v>
      </c>
      <c r="AN4" s="486">
        <f>G4*2</f>
        <v>0</v>
      </c>
      <c r="AO4" s="486"/>
      <c r="AP4" s="489">
        <v>549.9</v>
      </c>
      <c r="AQ4" s="486">
        <f>SUM(AM4:AP4)</f>
        <v>549.9</v>
      </c>
      <c r="AR4" s="486">
        <f>AK4-AQ4</f>
        <v>4500.1</v>
      </c>
      <c r="AS4" s="488" t="s">
        <v>208</v>
      </c>
      <c r="AT4" s="490" t="s">
        <v>177</v>
      </c>
    </row>
    <row r="5" s="441" customFormat="1" ht="25" customHeight="1" spans="1:46">
      <c r="A5" s="448">
        <v>3</v>
      </c>
      <c r="B5" s="456" t="s">
        <v>209</v>
      </c>
      <c r="C5" s="457" t="s">
        <v>210</v>
      </c>
      <c r="D5" s="458" t="s">
        <v>211</v>
      </c>
      <c r="E5" s="459" t="s">
        <v>49</v>
      </c>
      <c r="F5" s="453">
        <v>31</v>
      </c>
      <c r="G5" s="455">
        <v>0</v>
      </c>
      <c r="H5" s="455">
        <v>0</v>
      </c>
      <c r="I5" s="455">
        <v>0</v>
      </c>
      <c r="J5" s="455">
        <v>0</v>
      </c>
      <c r="K5" s="455">
        <v>0</v>
      </c>
      <c r="L5" s="455">
        <v>0</v>
      </c>
      <c r="M5" s="455">
        <v>0</v>
      </c>
      <c r="N5" s="455">
        <v>0</v>
      </c>
      <c r="O5" s="471"/>
      <c r="P5" s="455">
        <v>0</v>
      </c>
      <c r="Q5" s="455">
        <v>0</v>
      </c>
      <c r="R5" s="455">
        <v>0</v>
      </c>
      <c r="S5" s="478"/>
      <c r="T5" s="475"/>
      <c r="U5" s="476">
        <v>1500</v>
      </c>
      <c r="V5" s="477">
        <v>500</v>
      </c>
      <c r="W5" s="477">
        <v>500</v>
      </c>
      <c r="X5" s="477">
        <v>500</v>
      </c>
      <c r="Y5" s="477">
        <v>400</v>
      </c>
      <c r="Z5" s="477">
        <v>200</v>
      </c>
      <c r="AA5" s="477">
        <v>400</v>
      </c>
      <c r="AB5" s="477">
        <f>SUM(U5:AA5)</f>
        <v>4000</v>
      </c>
      <c r="AC5" s="486"/>
      <c r="AD5" s="486">
        <v>0</v>
      </c>
      <c r="AE5" s="486">
        <f>L5</f>
        <v>0</v>
      </c>
      <c r="AF5" s="486">
        <f>R5</f>
        <v>0</v>
      </c>
      <c r="AG5" s="486">
        <v>0</v>
      </c>
      <c r="AH5" s="486">
        <v>0</v>
      </c>
      <c r="AI5" s="486">
        <v>0</v>
      </c>
      <c r="AJ5" s="486">
        <f>T5</f>
        <v>0</v>
      </c>
      <c r="AK5" s="486">
        <f>SUM(AB5:AJ5)</f>
        <v>4000</v>
      </c>
      <c r="AL5" s="486">
        <f>H5</f>
        <v>0</v>
      </c>
      <c r="AM5" s="486">
        <f>AB5/F5*AL5</f>
        <v>0</v>
      </c>
      <c r="AN5" s="486">
        <f>G5*2</f>
        <v>0</v>
      </c>
      <c r="AO5" s="486">
        <v>0</v>
      </c>
      <c r="AP5" s="489">
        <v>549.9</v>
      </c>
      <c r="AQ5" s="486">
        <f t="shared" ref="AQ5:AQ14" si="0">SUM(AM5:AP5)</f>
        <v>549.9</v>
      </c>
      <c r="AR5" s="486">
        <f t="shared" ref="AR5:AR14" si="1">AK5-AQ5</f>
        <v>3450.1</v>
      </c>
      <c r="AT5" s="491" t="s">
        <v>212</v>
      </c>
    </row>
    <row r="6" s="441" customFormat="1" ht="25" customHeight="1" spans="1:45">
      <c r="A6" s="448">
        <v>2</v>
      </c>
      <c r="B6" s="460" t="s">
        <v>213</v>
      </c>
      <c r="C6" s="457" t="s">
        <v>106</v>
      </c>
      <c r="D6" s="458" t="s">
        <v>214</v>
      </c>
      <c r="E6" s="459" t="s">
        <v>49</v>
      </c>
      <c r="F6" s="453">
        <v>31</v>
      </c>
      <c r="G6" s="455">
        <v>0</v>
      </c>
      <c r="H6" s="455"/>
      <c r="I6" s="455">
        <v>0</v>
      </c>
      <c r="J6" s="455">
        <v>0</v>
      </c>
      <c r="K6" s="455">
        <v>0</v>
      </c>
      <c r="L6" s="455">
        <v>0</v>
      </c>
      <c r="M6" s="455">
        <v>0</v>
      </c>
      <c r="N6" s="455">
        <v>0</v>
      </c>
      <c r="O6" s="471"/>
      <c r="P6" s="455">
        <v>0</v>
      </c>
      <c r="Q6" s="455">
        <v>0</v>
      </c>
      <c r="R6" s="455">
        <v>0</v>
      </c>
      <c r="S6" s="479"/>
      <c r="T6" s="475"/>
      <c r="U6" s="476">
        <v>2000</v>
      </c>
      <c r="V6" s="477">
        <v>500</v>
      </c>
      <c r="W6" s="477">
        <v>500</v>
      </c>
      <c r="X6" s="477">
        <v>500</v>
      </c>
      <c r="Y6" s="477">
        <v>400</v>
      </c>
      <c r="Z6" s="477">
        <v>200</v>
      </c>
      <c r="AA6" s="477">
        <v>400</v>
      </c>
      <c r="AB6" s="477">
        <f>SUM(U6:AA6)</f>
        <v>4500</v>
      </c>
      <c r="AC6" s="486"/>
      <c r="AD6" s="486">
        <v>0</v>
      </c>
      <c r="AE6" s="486">
        <f>L6</f>
        <v>0</v>
      </c>
      <c r="AF6" s="486">
        <f>R6</f>
        <v>0</v>
      </c>
      <c r="AG6" s="486">
        <v>0</v>
      </c>
      <c r="AH6" s="486">
        <v>0</v>
      </c>
      <c r="AI6" s="486">
        <v>0</v>
      </c>
      <c r="AJ6" s="486">
        <f>T6</f>
        <v>0</v>
      </c>
      <c r="AK6" s="486">
        <f>SUM(AB6:AJ6)</f>
        <v>4500</v>
      </c>
      <c r="AL6" s="486">
        <f>H6</f>
        <v>0</v>
      </c>
      <c r="AM6" s="486">
        <f>AB6/F6*AL6</f>
        <v>0</v>
      </c>
      <c r="AN6" s="486">
        <f>G6*2</f>
        <v>0</v>
      </c>
      <c r="AO6" s="486">
        <v>0</v>
      </c>
      <c r="AP6" s="486"/>
      <c r="AQ6" s="486">
        <f t="shared" si="0"/>
        <v>0</v>
      </c>
      <c r="AR6" s="486">
        <f t="shared" si="1"/>
        <v>4500</v>
      </c>
      <c r="AS6" s="488"/>
    </row>
    <row r="7" s="441" customFormat="1" ht="49" customHeight="1" spans="1:45">
      <c r="A7" s="448">
        <v>4</v>
      </c>
      <c r="B7" s="461" t="s">
        <v>215</v>
      </c>
      <c r="C7" s="461" t="s">
        <v>216</v>
      </c>
      <c r="D7" s="461" t="s">
        <v>217</v>
      </c>
      <c r="E7" s="459" t="s">
        <v>49</v>
      </c>
      <c r="F7" s="453">
        <v>31</v>
      </c>
      <c r="G7" s="455">
        <v>20</v>
      </c>
      <c r="H7" s="455"/>
      <c r="I7" s="455">
        <v>0</v>
      </c>
      <c r="J7" s="455">
        <v>0</v>
      </c>
      <c r="K7" s="455">
        <v>0</v>
      </c>
      <c r="L7" s="455">
        <v>0</v>
      </c>
      <c r="M7" s="455">
        <v>0</v>
      </c>
      <c r="N7" s="455">
        <v>0</v>
      </c>
      <c r="O7" s="471"/>
      <c r="P7" s="455">
        <v>0</v>
      </c>
      <c r="Q7" s="455">
        <v>0</v>
      </c>
      <c r="R7" s="455">
        <v>0</v>
      </c>
      <c r="S7" s="474"/>
      <c r="T7" s="475"/>
      <c r="U7" s="476">
        <v>2500</v>
      </c>
      <c r="V7" s="477">
        <v>500</v>
      </c>
      <c r="W7" s="477">
        <v>300</v>
      </c>
      <c r="X7" s="477">
        <v>200</v>
      </c>
      <c r="Y7" s="477">
        <v>200</v>
      </c>
      <c r="Z7" s="477">
        <v>200</v>
      </c>
      <c r="AA7" s="477">
        <v>600</v>
      </c>
      <c r="AB7" s="477">
        <f t="shared" ref="AB7:AB14" si="2">SUM(U7:AA7)</f>
        <v>4500</v>
      </c>
      <c r="AC7" s="486"/>
      <c r="AD7" s="486">
        <v>0</v>
      </c>
      <c r="AE7" s="486">
        <f t="shared" ref="AE7:AE12" si="3">L7</f>
        <v>0</v>
      </c>
      <c r="AF7" s="486">
        <f t="shared" ref="AF7:AF12" si="4">R7</f>
        <v>0</v>
      </c>
      <c r="AG7" s="486">
        <v>0</v>
      </c>
      <c r="AH7" s="486">
        <v>0</v>
      </c>
      <c r="AI7" s="486">
        <v>0</v>
      </c>
      <c r="AJ7" s="486">
        <f t="shared" ref="AJ7:AJ12" si="5">T7</f>
        <v>0</v>
      </c>
      <c r="AK7" s="486">
        <f t="shared" ref="AK7:AK14" si="6">SUM(AB7:AJ7)</f>
        <v>4500</v>
      </c>
      <c r="AL7" s="486">
        <f t="shared" ref="AL7:AL12" si="7">H7</f>
        <v>0</v>
      </c>
      <c r="AM7" s="486">
        <f t="shared" ref="AM7:AM12" si="8">AB7/F7*AL7</f>
        <v>0</v>
      </c>
      <c r="AN7" s="486">
        <f t="shared" ref="AN7:AN12" si="9">G7*2</f>
        <v>40</v>
      </c>
      <c r="AO7" s="486">
        <v>60</v>
      </c>
      <c r="AP7" s="486">
        <v>0</v>
      </c>
      <c r="AQ7" s="486">
        <f t="shared" si="0"/>
        <v>100</v>
      </c>
      <c r="AR7" s="486">
        <f t="shared" si="1"/>
        <v>4400</v>
      </c>
      <c r="AS7" s="492" t="s">
        <v>218</v>
      </c>
    </row>
    <row r="8" s="441" customFormat="1" ht="25" customHeight="1" spans="1:45">
      <c r="A8" s="448">
        <v>5</v>
      </c>
      <c r="B8" s="461" t="s">
        <v>219</v>
      </c>
      <c r="C8" s="461" t="s">
        <v>220</v>
      </c>
      <c r="D8" s="461" t="s">
        <v>221</v>
      </c>
      <c r="E8" s="459" t="s">
        <v>49</v>
      </c>
      <c r="F8" s="453">
        <v>31</v>
      </c>
      <c r="G8" s="455">
        <v>0</v>
      </c>
      <c r="H8" s="455">
        <v>0</v>
      </c>
      <c r="I8" s="455">
        <v>0</v>
      </c>
      <c r="J8" s="455">
        <v>0</v>
      </c>
      <c r="K8" s="455">
        <v>0</v>
      </c>
      <c r="L8" s="455">
        <v>0</v>
      </c>
      <c r="M8" s="455">
        <v>0</v>
      </c>
      <c r="N8" s="455">
        <v>0</v>
      </c>
      <c r="O8" s="471"/>
      <c r="P8" s="455">
        <v>0</v>
      </c>
      <c r="Q8" s="455">
        <v>0</v>
      </c>
      <c r="R8" s="455">
        <v>0</v>
      </c>
      <c r="S8" s="480"/>
      <c r="T8" s="475"/>
      <c r="U8" s="476">
        <v>2000</v>
      </c>
      <c r="V8" s="477">
        <v>300</v>
      </c>
      <c r="W8" s="477">
        <v>300</v>
      </c>
      <c r="X8" s="477">
        <v>200</v>
      </c>
      <c r="Y8" s="477">
        <v>100</v>
      </c>
      <c r="Z8" s="477">
        <v>200</v>
      </c>
      <c r="AA8" s="477">
        <v>400</v>
      </c>
      <c r="AB8" s="477">
        <f t="shared" si="2"/>
        <v>3500</v>
      </c>
      <c r="AC8" s="486"/>
      <c r="AD8" s="486">
        <v>0</v>
      </c>
      <c r="AE8" s="486">
        <f t="shared" si="3"/>
        <v>0</v>
      </c>
      <c r="AF8" s="486">
        <f t="shared" si="4"/>
        <v>0</v>
      </c>
      <c r="AG8" s="486">
        <v>0</v>
      </c>
      <c r="AH8" s="486">
        <v>0</v>
      </c>
      <c r="AI8" s="486">
        <v>0</v>
      </c>
      <c r="AJ8" s="486">
        <f t="shared" si="5"/>
        <v>0</v>
      </c>
      <c r="AK8" s="486">
        <f t="shared" si="6"/>
        <v>3500</v>
      </c>
      <c r="AL8" s="486">
        <f t="shared" si="7"/>
        <v>0</v>
      </c>
      <c r="AM8" s="486">
        <f t="shared" si="8"/>
        <v>0</v>
      </c>
      <c r="AN8" s="486">
        <f t="shared" si="9"/>
        <v>0</v>
      </c>
      <c r="AO8" s="486">
        <v>0</v>
      </c>
      <c r="AP8" s="486">
        <v>0</v>
      </c>
      <c r="AQ8" s="486">
        <f t="shared" si="0"/>
        <v>0</v>
      </c>
      <c r="AR8" s="486">
        <f t="shared" si="1"/>
        <v>3500</v>
      </c>
      <c r="AS8" s="488"/>
    </row>
    <row r="9" s="441" customFormat="1" ht="25" customHeight="1" spans="1:45">
      <c r="A9" s="448">
        <v>6</v>
      </c>
      <c r="B9" s="461" t="s">
        <v>222</v>
      </c>
      <c r="C9" s="461" t="s">
        <v>220</v>
      </c>
      <c r="D9" s="462" t="s">
        <v>207</v>
      </c>
      <c r="E9" s="459" t="s">
        <v>49</v>
      </c>
      <c r="F9" s="453">
        <v>31</v>
      </c>
      <c r="G9" s="455">
        <v>0</v>
      </c>
      <c r="H9" s="455">
        <v>0</v>
      </c>
      <c r="I9" s="455">
        <v>0</v>
      </c>
      <c r="J9" s="455">
        <v>0</v>
      </c>
      <c r="K9" s="455">
        <v>0</v>
      </c>
      <c r="L9" s="455">
        <v>0</v>
      </c>
      <c r="M9" s="455">
        <v>0</v>
      </c>
      <c r="N9" s="455">
        <v>0</v>
      </c>
      <c r="O9" s="471"/>
      <c r="P9" s="455">
        <v>0</v>
      </c>
      <c r="Q9" s="455">
        <v>0</v>
      </c>
      <c r="R9" s="455"/>
      <c r="S9" s="480"/>
      <c r="T9" s="475"/>
      <c r="U9" s="476">
        <v>2000</v>
      </c>
      <c r="V9" s="477">
        <v>300</v>
      </c>
      <c r="W9" s="477">
        <v>300</v>
      </c>
      <c r="X9" s="477">
        <v>200</v>
      </c>
      <c r="Y9" s="477">
        <v>100</v>
      </c>
      <c r="Z9" s="477">
        <v>200</v>
      </c>
      <c r="AA9" s="477">
        <v>400</v>
      </c>
      <c r="AB9" s="477">
        <f t="shared" si="2"/>
        <v>3500</v>
      </c>
      <c r="AC9" s="486"/>
      <c r="AD9" s="486">
        <v>0</v>
      </c>
      <c r="AE9" s="486">
        <f t="shared" si="3"/>
        <v>0</v>
      </c>
      <c r="AF9" s="486">
        <f t="shared" si="4"/>
        <v>0</v>
      </c>
      <c r="AG9" s="486">
        <v>0</v>
      </c>
      <c r="AH9" s="486">
        <v>0</v>
      </c>
      <c r="AI9" s="486">
        <v>0</v>
      </c>
      <c r="AJ9" s="486">
        <f t="shared" si="5"/>
        <v>0</v>
      </c>
      <c r="AK9" s="486">
        <f t="shared" si="6"/>
        <v>3500</v>
      </c>
      <c r="AL9" s="486">
        <f t="shared" si="7"/>
        <v>0</v>
      </c>
      <c r="AM9" s="486">
        <f t="shared" si="8"/>
        <v>0</v>
      </c>
      <c r="AN9" s="486">
        <f t="shared" si="9"/>
        <v>0</v>
      </c>
      <c r="AO9" s="486">
        <v>0</v>
      </c>
      <c r="AP9" s="486">
        <v>0</v>
      </c>
      <c r="AQ9" s="486">
        <f t="shared" si="0"/>
        <v>0</v>
      </c>
      <c r="AR9" s="486">
        <f t="shared" si="1"/>
        <v>3500</v>
      </c>
      <c r="AS9" s="488"/>
    </row>
    <row r="10" s="441" customFormat="1" ht="25" customHeight="1" spans="1:45">
      <c r="A10" s="448">
        <v>7</v>
      </c>
      <c r="B10" s="461" t="s">
        <v>223</v>
      </c>
      <c r="C10" s="461" t="s">
        <v>224</v>
      </c>
      <c r="D10" s="462" t="s">
        <v>225</v>
      </c>
      <c r="E10" s="459" t="s">
        <v>49</v>
      </c>
      <c r="F10" s="453">
        <v>31</v>
      </c>
      <c r="G10" s="455">
        <v>0</v>
      </c>
      <c r="H10" s="455">
        <v>0</v>
      </c>
      <c r="I10" s="455">
        <v>0</v>
      </c>
      <c r="J10" s="455">
        <v>0</v>
      </c>
      <c r="K10" s="455">
        <v>0</v>
      </c>
      <c r="L10" s="455">
        <v>0</v>
      </c>
      <c r="M10" s="455">
        <v>0</v>
      </c>
      <c r="N10" s="455">
        <v>0</v>
      </c>
      <c r="O10" s="471"/>
      <c r="P10" s="455">
        <v>0</v>
      </c>
      <c r="Q10" s="455">
        <v>0</v>
      </c>
      <c r="R10" s="455">
        <v>0</v>
      </c>
      <c r="S10" s="481"/>
      <c r="T10" s="475"/>
      <c r="U10" s="476">
        <v>3300</v>
      </c>
      <c r="V10" s="477">
        <v>700</v>
      </c>
      <c r="W10" s="477">
        <v>300</v>
      </c>
      <c r="X10" s="477">
        <v>300</v>
      </c>
      <c r="Y10" s="477">
        <v>300</v>
      </c>
      <c r="Z10" s="477">
        <v>300</v>
      </c>
      <c r="AA10" s="477">
        <v>600</v>
      </c>
      <c r="AB10" s="477">
        <f t="shared" si="2"/>
        <v>5800</v>
      </c>
      <c r="AC10" s="486"/>
      <c r="AD10" s="486">
        <v>0</v>
      </c>
      <c r="AE10" s="486">
        <f t="shared" si="3"/>
        <v>0</v>
      </c>
      <c r="AF10" s="486">
        <f t="shared" si="4"/>
        <v>0</v>
      </c>
      <c r="AG10" s="486">
        <v>0</v>
      </c>
      <c r="AH10" s="486">
        <v>0</v>
      </c>
      <c r="AI10" s="486">
        <v>0</v>
      </c>
      <c r="AJ10" s="486">
        <f t="shared" si="5"/>
        <v>0</v>
      </c>
      <c r="AK10" s="486">
        <f t="shared" si="6"/>
        <v>5800</v>
      </c>
      <c r="AL10" s="486">
        <f t="shared" si="7"/>
        <v>0</v>
      </c>
      <c r="AM10" s="486">
        <f t="shared" si="8"/>
        <v>0</v>
      </c>
      <c r="AN10" s="486">
        <f t="shared" si="9"/>
        <v>0</v>
      </c>
      <c r="AO10" s="486">
        <v>0</v>
      </c>
      <c r="AP10" s="486">
        <v>0</v>
      </c>
      <c r="AQ10" s="486">
        <f t="shared" si="0"/>
        <v>0</v>
      </c>
      <c r="AR10" s="486">
        <f t="shared" si="1"/>
        <v>5800</v>
      </c>
      <c r="AS10" s="493"/>
    </row>
    <row r="11" s="441" customFormat="1" ht="25" customHeight="1" spans="1:45">
      <c r="A11" s="448">
        <v>8</v>
      </c>
      <c r="B11" s="461" t="s">
        <v>226</v>
      </c>
      <c r="C11" s="461" t="s">
        <v>216</v>
      </c>
      <c r="D11" s="462" t="s">
        <v>57</v>
      </c>
      <c r="E11" s="459" t="s">
        <v>49</v>
      </c>
      <c r="F11" s="453">
        <v>31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5">
        <v>0</v>
      </c>
      <c r="O11" s="471"/>
      <c r="P11" s="455">
        <v>0</v>
      </c>
      <c r="Q11" s="455">
        <v>0</v>
      </c>
      <c r="R11" s="455">
        <v>0</v>
      </c>
      <c r="S11" s="480"/>
      <c r="T11" s="475"/>
      <c r="U11" s="476">
        <v>2500</v>
      </c>
      <c r="V11" s="477">
        <v>300</v>
      </c>
      <c r="W11" s="477">
        <v>300</v>
      </c>
      <c r="X11" s="477">
        <v>200</v>
      </c>
      <c r="Y11" s="477">
        <v>100</v>
      </c>
      <c r="Z11" s="477">
        <v>200</v>
      </c>
      <c r="AA11" s="477">
        <v>400</v>
      </c>
      <c r="AB11" s="477">
        <f t="shared" si="2"/>
        <v>4000</v>
      </c>
      <c r="AC11" s="486"/>
      <c r="AD11" s="486">
        <v>0</v>
      </c>
      <c r="AE11" s="486">
        <f t="shared" si="3"/>
        <v>0</v>
      </c>
      <c r="AF11" s="486">
        <f t="shared" si="4"/>
        <v>0</v>
      </c>
      <c r="AG11" s="486">
        <v>0</v>
      </c>
      <c r="AH11" s="486">
        <v>0</v>
      </c>
      <c r="AI11" s="486">
        <v>0</v>
      </c>
      <c r="AJ11" s="486">
        <f t="shared" si="5"/>
        <v>0</v>
      </c>
      <c r="AK11" s="486">
        <f t="shared" si="6"/>
        <v>4000</v>
      </c>
      <c r="AL11" s="486">
        <f t="shared" si="7"/>
        <v>0</v>
      </c>
      <c r="AM11" s="486">
        <f t="shared" si="8"/>
        <v>0</v>
      </c>
      <c r="AN11" s="486">
        <f t="shared" si="9"/>
        <v>0</v>
      </c>
      <c r="AO11" s="486">
        <v>0</v>
      </c>
      <c r="AP11" s="486">
        <v>0</v>
      </c>
      <c r="AQ11" s="486">
        <f t="shared" si="0"/>
        <v>0</v>
      </c>
      <c r="AR11" s="486">
        <f t="shared" si="1"/>
        <v>4000</v>
      </c>
      <c r="AS11" s="493"/>
    </row>
    <row r="12" s="441" customFormat="1" ht="25" customHeight="1" spans="1:45">
      <c r="A12" s="448">
        <v>9</v>
      </c>
      <c r="B12" s="461" t="s">
        <v>227</v>
      </c>
      <c r="C12" s="463" t="s">
        <v>224</v>
      </c>
      <c r="D12" s="461" t="s">
        <v>228</v>
      </c>
      <c r="E12" s="459" t="s">
        <v>49</v>
      </c>
      <c r="F12" s="453">
        <v>31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5">
        <v>0</v>
      </c>
      <c r="O12" s="471"/>
      <c r="P12" s="472">
        <v>0</v>
      </c>
      <c r="Q12" s="472">
        <v>0</v>
      </c>
      <c r="R12" s="472">
        <v>0</v>
      </c>
      <c r="S12" s="482"/>
      <c r="T12" s="475"/>
      <c r="U12" s="476">
        <v>4000</v>
      </c>
      <c r="V12" s="477">
        <v>1100</v>
      </c>
      <c r="W12" s="477">
        <v>2000</v>
      </c>
      <c r="X12" s="477">
        <v>200</v>
      </c>
      <c r="Y12" s="477">
        <v>100</v>
      </c>
      <c r="Z12" s="477">
        <v>200</v>
      </c>
      <c r="AA12" s="477">
        <v>400</v>
      </c>
      <c r="AB12" s="477">
        <f t="shared" si="2"/>
        <v>8000</v>
      </c>
      <c r="AC12" s="486"/>
      <c r="AD12" s="486">
        <v>0</v>
      </c>
      <c r="AE12" s="486">
        <f t="shared" si="3"/>
        <v>0</v>
      </c>
      <c r="AF12" s="486">
        <f t="shared" si="4"/>
        <v>0</v>
      </c>
      <c r="AG12" s="486">
        <v>0</v>
      </c>
      <c r="AH12" s="486">
        <v>0</v>
      </c>
      <c r="AI12" s="486">
        <v>0</v>
      </c>
      <c r="AJ12" s="486">
        <f t="shared" si="5"/>
        <v>0</v>
      </c>
      <c r="AK12" s="486">
        <f t="shared" si="6"/>
        <v>8000</v>
      </c>
      <c r="AL12" s="486">
        <f t="shared" si="7"/>
        <v>0</v>
      </c>
      <c r="AM12" s="486">
        <f t="shared" si="8"/>
        <v>0</v>
      </c>
      <c r="AN12" s="486">
        <f t="shared" si="9"/>
        <v>0</v>
      </c>
      <c r="AO12" s="486">
        <v>20</v>
      </c>
      <c r="AP12" s="486">
        <v>0</v>
      </c>
      <c r="AQ12" s="486">
        <f t="shared" si="0"/>
        <v>20</v>
      </c>
      <c r="AR12" s="486">
        <f t="shared" si="1"/>
        <v>7980</v>
      </c>
      <c r="AS12" s="494" t="s">
        <v>229</v>
      </c>
    </row>
    <row r="13" s="441" customFormat="1" ht="25" customHeight="1" spans="1:45">
      <c r="A13" s="448">
        <v>10</v>
      </c>
      <c r="B13" s="464" t="s">
        <v>230</v>
      </c>
      <c r="C13" s="463" t="s">
        <v>220</v>
      </c>
      <c r="D13" s="463" t="s">
        <v>231</v>
      </c>
      <c r="E13" s="465" t="s">
        <v>65</v>
      </c>
      <c r="F13" s="453">
        <v>31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82"/>
      <c r="T13" s="475"/>
      <c r="U13" s="476">
        <v>2000</v>
      </c>
      <c r="V13" s="477">
        <v>1000</v>
      </c>
      <c r="W13" s="477">
        <v>100</v>
      </c>
      <c r="X13" s="477">
        <v>100</v>
      </c>
      <c r="Y13" s="477">
        <v>100</v>
      </c>
      <c r="Z13" s="477">
        <v>100</v>
      </c>
      <c r="AA13" s="477">
        <v>100</v>
      </c>
      <c r="AB13" s="477">
        <f t="shared" si="2"/>
        <v>3500</v>
      </c>
      <c r="AC13" s="486"/>
      <c r="AD13" s="486"/>
      <c r="AE13" s="486"/>
      <c r="AF13" s="486"/>
      <c r="AG13" s="486"/>
      <c r="AH13" s="486"/>
      <c r="AI13" s="486"/>
      <c r="AJ13" s="486"/>
      <c r="AK13" s="486">
        <f t="shared" si="6"/>
        <v>3500</v>
      </c>
      <c r="AL13" s="486"/>
      <c r="AM13" s="486"/>
      <c r="AN13" s="486"/>
      <c r="AO13" s="486"/>
      <c r="AP13" s="486"/>
      <c r="AQ13" s="486">
        <f t="shared" si="0"/>
        <v>0</v>
      </c>
      <c r="AR13" s="486">
        <f t="shared" si="1"/>
        <v>3500</v>
      </c>
      <c r="AS13" s="493"/>
    </row>
    <row r="14" s="441" customFormat="1" ht="25" customHeight="1" spans="1:45">
      <c r="A14" s="448">
        <v>11</v>
      </c>
      <c r="B14" s="464" t="s">
        <v>232</v>
      </c>
      <c r="C14" s="463" t="s">
        <v>220</v>
      </c>
      <c r="D14" s="463" t="s">
        <v>233</v>
      </c>
      <c r="E14" s="465" t="s">
        <v>65</v>
      </c>
      <c r="F14" s="453">
        <v>31</v>
      </c>
      <c r="G14" s="455">
        <v>0</v>
      </c>
      <c r="H14" s="455">
        <v>0</v>
      </c>
      <c r="I14" s="455">
        <v>0</v>
      </c>
      <c r="J14" s="455">
        <v>0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0</v>
      </c>
      <c r="R14" s="455">
        <v>0</v>
      </c>
      <c r="S14" s="482"/>
      <c r="T14" s="475"/>
      <c r="U14" s="476">
        <v>2000</v>
      </c>
      <c r="V14" s="477">
        <v>1000</v>
      </c>
      <c r="W14" s="477">
        <v>300</v>
      </c>
      <c r="X14" s="477">
        <v>100</v>
      </c>
      <c r="Y14" s="477">
        <v>100</v>
      </c>
      <c r="Z14" s="477">
        <v>100</v>
      </c>
      <c r="AA14" s="477">
        <v>150</v>
      </c>
      <c r="AB14" s="477">
        <f t="shared" si="2"/>
        <v>3750</v>
      </c>
      <c r="AC14" s="486"/>
      <c r="AD14" s="486"/>
      <c r="AE14" s="486"/>
      <c r="AF14" s="486"/>
      <c r="AG14" s="486"/>
      <c r="AH14" s="486"/>
      <c r="AI14" s="486"/>
      <c r="AJ14" s="486"/>
      <c r="AK14" s="486">
        <f t="shared" si="6"/>
        <v>3750</v>
      </c>
      <c r="AL14" s="486"/>
      <c r="AM14" s="486"/>
      <c r="AN14" s="486"/>
      <c r="AO14" s="486"/>
      <c r="AP14" s="486"/>
      <c r="AQ14" s="486">
        <f t="shared" si="0"/>
        <v>0</v>
      </c>
      <c r="AR14" s="486">
        <f t="shared" si="1"/>
        <v>3750</v>
      </c>
      <c r="AS14" s="488"/>
    </row>
    <row r="15" s="441" customFormat="1" ht="25" customHeight="1" spans="1:45">
      <c r="A15" s="466"/>
      <c r="B15" s="467" t="s">
        <v>36</v>
      </c>
      <c r="C15" s="468"/>
      <c r="D15" s="468"/>
      <c r="E15" s="468"/>
      <c r="F15" s="468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83"/>
      <c r="R15" s="469"/>
      <c r="S15" s="469"/>
      <c r="T15" s="445"/>
      <c r="U15" s="445">
        <f t="shared" ref="U15:AB15" si="10">SUM(U4:U14)</f>
        <v>25300</v>
      </c>
      <c r="V15" s="445">
        <f t="shared" si="10"/>
        <v>6700</v>
      </c>
      <c r="W15" s="445">
        <f t="shared" si="10"/>
        <v>5400</v>
      </c>
      <c r="X15" s="445">
        <f t="shared" si="10"/>
        <v>3000</v>
      </c>
      <c r="Y15" s="445">
        <f t="shared" si="10"/>
        <v>2300</v>
      </c>
      <c r="Z15" s="445">
        <f t="shared" si="10"/>
        <v>2100</v>
      </c>
      <c r="AA15" s="445">
        <f t="shared" si="10"/>
        <v>4250</v>
      </c>
      <c r="AB15" s="445">
        <f t="shared" si="10"/>
        <v>49050</v>
      </c>
      <c r="AC15" s="445">
        <f t="shared" ref="AC15:AR15" si="11">SUM(AC4:AC14)</f>
        <v>500</v>
      </c>
      <c r="AD15" s="445">
        <f t="shared" si="11"/>
        <v>10</v>
      </c>
      <c r="AE15" s="445">
        <f t="shared" si="11"/>
        <v>0</v>
      </c>
      <c r="AF15" s="445">
        <f t="shared" si="11"/>
        <v>540</v>
      </c>
      <c r="AG15" s="445">
        <f t="shared" si="11"/>
        <v>0</v>
      </c>
      <c r="AH15" s="445">
        <f t="shared" si="11"/>
        <v>0</v>
      </c>
      <c r="AI15" s="445">
        <f t="shared" si="11"/>
        <v>0</v>
      </c>
      <c r="AJ15" s="445">
        <f t="shared" si="11"/>
        <v>0</v>
      </c>
      <c r="AK15" s="445">
        <f t="shared" si="11"/>
        <v>50100</v>
      </c>
      <c r="AL15" s="445">
        <f t="shared" si="11"/>
        <v>0</v>
      </c>
      <c r="AM15" s="445">
        <f t="shared" si="11"/>
        <v>0</v>
      </c>
      <c r="AN15" s="445">
        <f t="shared" si="11"/>
        <v>40</v>
      </c>
      <c r="AO15" s="445">
        <f t="shared" si="11"/>
        <v>80</v>
      </c>
      <c r="AP15" s="445">
        <f t="shared" si="11"/>
        <v>1099.8</v>
      </c>
      <c r="AQ15" s="445">
        <f t="shared" si="11"/>
        <v>1219.8</v>
      </c>
      <c r="AR15" s="445">
        <f t="shared" si="11"/>
        <v>48880.2</v>
      </c>
      <c r="AS15" s="488"/>
    </row>
    <row r="16" s="441" customFormat="1" spans="1:44">
      <c r="A16" s="443"/>
      <c r="AQ16" s="495" t="s">
        <v>234</v>
      </c>
      <c r="AR16" s="496" t="s">
        <v>206</v>
      </c>
    </row>
    <row r="17" s="442" customFormat="1" spans="1:6">
      <c r="A17" s="470" t="s">
        <v>235</v>
      </c>
      <c r="B17" s="441"/>
      <c r="F17" s="441"/>
    </row>
    <row r="18" s="441" customFormat="1" spans="1:44">
      <c r="A18" s="443"/>
      <c r="AR18" s="441">
        <f>AK15-AQ15-AR15</f>
        <v>0</v>
      </c>
    </row>
  </sheetData>
  <mergeCells count="44">
    <mergeCell ref="A1:AR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6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S18"/>
  <sheetViews>
    <sheetView zoomScale="90" zoomScaleNormal="90" workbookViewId="0">
      <pane xSplit="3" ySplit="3" topLeftCell="AA4" activePane="bottomRight" state="frozen"/>
      <selection/>
      <selection pane="topRight"/>
      <selection pane="bottomLeft"/>
      <selection pane="bottomRight" activeCell="A14" sqref="A14"/>
    </sheetView>
  </sheetViews>
  <sheetFormatPr defaultColWidth="8.30833333333333" defaultRowHeight="14.25"/>
  <cols>
    <col min="1" max="1" width="8.425" style="229" customWidth="1"/>
    <col min="2" max="2" width="8.425" style="224" customWidth="1"/>
    <col min="3" max="3" width="8.425" style="224" hidden="1" customWidth="1"/>
    <col min="4" max="4" width="11.3083333333333" style="224" hidden="1" customWidth="1"/>
    <col min="5" max="14" width="8.425" style="224" hidden="1" customWidth="1"/>
    <col min="15" max="15" width="16.6166666666667" style="224" hidden="1" customWidth="1"/>
    <col min="16" max="18" width="8.425" style="224" hidden="1" customWidth="1"/>
    <col min="19" max="19" width="23.875" style="224" hidden="1" customWidth="1"/>
    <col min="20" max="27" width="10.875" style="224" customWidth="1"/>
    <col min="28" max="28" width="10.75" style="224" customWidth="1"/>
    <col min="29" max="30" width="10.9583333333333" style="224" customWidth="1"/>
    <col min="31" max="34" width="8.425" style="224" customWidth="1"/>
    <col min="35" max="35" width="12.25" style="224" customWidth="1"/>
    <col min="36" max="39" width="8.425" style="224" customWidth="1"/>
    <col min="40" max="41" width="10.6166666666667" style="224" customWidth="1"/>
    <col min="42" max="42" width="14.875" style="224" customWidth="1"/>
    <col min="43" max="43" width="15.8083333333333" style="224" customWidth="1"/>
    <col min="44" max="44" width="10.2666666666667" style="224" customWidth="1"/>
    <col min="45" max="45" width="42.9166666666667" style="224" customWidth="1"/>
    <col min="46" max="251" width="8.425" style="224" customWidth="1"/>
    <col min="252" max="252" width="8.425" style="224"/>
    <col min="253" max="16384" width="8.30833333333333" style="224"/>
  </cols>
  <sheetData>
    <row r="1" s="224" customFormat="1" ht="32" customHeight="1" spans="1:44">
      <c r="A1" s="431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</row>
    <row r="2" s="224" customFormat="1" spans="1:44">
      <c r="A2" s="11" t="s">
        <v>0</v>
      </c>
      <c r="B2" s="320" t="s">
        <v>1</v>
      </c>
      <c r="C2" s="236" t="s">
        <v>2</v>
      </c>
      <c r="D2" s="236" t="s">
        <v>3</v>
      </c>
      <c r="E2" s="236" t="s">
        <v>4</v>
      </c>
      <c r="F2" s="236" t="s">
        <v>202</v>
      </c>
      <c r="G2" s="236" t="s">
        <v>203</v>
      </c>
      <c r="H2" s="236" t="s">
        <v>7</v>
      </c>
      <c r="I2" s="236" t="s">
        <v>8</v>
      </c>
      <c r="J2" s="236" t="s">
        <v>9</v>
      </c>
      <c r="K2" s="236" t="s">
        <v>10</v>
      </c>
      <c r="L2" s="236" t="s">
        <v>11</v>
      </c>
      <c r="M2" s="236" t="s">
        <v>12</v>
      </c>
      <c r="N2" s="236" t="s">
        <v>13</v>
      </c>
      <c r="O2" s="236" t="s">
        <v>14</v>
      </c>
      <c r="P2" s="236" t="s">
        <v>15</v>
      </c>
      <c r="Q2" s="236" t="s">
        <v>16</v>
      </c>
      <c r="R2" s="236" t="s">
        <v>17</v>
      </c>
      <c r="S2" s="236" t="s">
        <v>18</v>
      </c>
      <c r="T2" s="44" t="s">
        <v>21</v>
      </c>
      <c r="U2" s="44" t="s">
        <v>22</v>
      </c>
      <c r="V2" s="44" t="s">
        <v>23</v>
      </c>
      <c r="W2" s="44" t="s">
        <v>24</v>
      </c>
      <c r="X2" s="44" t="s">
        <v>25</v>
      </c>
      <c r="Y2" s="44" t="s">
        <v>26</v>
      </c>
      <c r="Z2" s="44" t="s">
        <v>96</v>
      </c>
      <c r="AA2" s="273" t="s">
        <v>28</v>
      </c>
      <c r="AB2" s="44" t="s">
        <v>97</v>
      </c>
      <c r="AC2" s="69" t="s">
        <v>29</v>
      </c>
      <c r="AD2" s="69" t="s">
        <v>32</v>
      </c>
      <c r="AE2" s="272" t="s">
        <v>31</v>
      </c>
      <c r="AF2" s="78" t="s">
        <v>33</v>
      </c>
      <c r="AG2" s="78" t="s">
        <v>34</v>
      </c>
      <c r="AH2" s="78" t="s">
        <v>35</v>
      </c>
      <c r="AI2" s="272" t="s">
        <v>36</v>
      </c>
      <c r="AJ2" s="272" t="s">
        <v>37</v>
      </c>
      <c r="AK2" s="272" t="s">
        <v>39</v>
      </c>
      <c r="AL2" s="273" t="s">
        <v>38</v>
      </c>
      <c r="AM2" s="44" t="s">
        <v>100</v>
      </c>
      <c r="AN2" s="44" t="s">
        <v>236</v>
      </c>
      <c r="AO2" s="69" t="s">
        <v>205</v>
      </c>
      <c r="AP2" s="272" t="s">
        <v>43</v>
      </c>
      <c r="AQ2" s="272" t="s">
        <v>44</v>
      </c>
      <c r="AR2" s="44" t="s">
        <v>45</v>
      </c>
    </row>
    <row r="3" s="224" customFormat="1" spans="1:44">
      <c r="A3" s="11"/>
      <c r="B3" s="320"/>
      <c r="C3" s="236"/>
      <c r="D3" s="236"/>
      <c r="E3" s="236"/>
      <c r="F3" s="236"/>
      <c r="G3" s="236"/>
      <c r="H3" s="236" t="s">
        <v>20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44"/>
      <c r="U3" s="44"/>
      <c r="V3" s="44"/>
      <c r="W3" s="44"/>
      <c r="X3" s="44"/>
      <c r="Y3" s="44"/>
      <c r="Z3" s="44"/>
      <c r="AA3" s="274"/>
      <c r="AB3" s="44"/>
      <c r="AC3" s="70"/>
      <c r="AD3" s="70"/>
      <c r="AE3" s="272"/>
      <c r="AF3" s="81"/>
      <c r="AG3" s="81"/>
      <c r="AH3" s="81"/>
      <c r="AI3" s="272"/>
      <c r="AJ3" s="272"/>
      <c r="AK3" s="272"/>
      <c r="AL3" s="274"/>
      <c r="AM3" s="44"/>
      <c r="AN3" s="44"/>
      <c r="AO3" s="70"/>
      <c r="AP3" s="272"/>
      <c r="AQ3" s="272"/>
      <c r="AR3" s="44"/>
    </row>
    <row r="4" s="224" customFormat="1" ht="53" customHeight="1" spans="1:45">
      <c r="A4" s="16">
        <f t="shared" ref="A4:A10" si="0">ROW()-3</f>
        <v>1</v>
      </c>
      <c r="B4" s="433" t="s">
        <v>237</v>
      </c>
      <c r="C4" s="270" t="s">
        <v>183</v>
      </c>
      <c r="D4" s="243">
        <v>45573</v>
      </c>
      <c r="E4" s="244" t="s">
        <v>49</v>
      </c>
      <c r="F4" s="434">
        <v>31</v>
      </c>
      <c r="G4" s="246">
        <v>0</v>
      </c>
      <c r="H4" s="246">
        <v>0</v>
      </c>
      <c r="I4" s="246">
        <v>0</v>
      </c>
      <c r="J4" s="246">
        <v>0</v>
      </c>
      <c r="K4" s="246">
        <v>0</v>
      </c>
      <c r="L4" s="246">
        <v>0</v>
      </c>
      <c r="M4" s="246">
        <v>0</v>
      </c>
      <c r="N4" s="246">
        <v>0</v>
      </c>
      <c r="O4" s="251"/>
      <c r="P4" s="246">
        <v>0</v>
      </c>
      <c r="Q4" s="246">
        <v>0</v>
      </c>
      <c r="R4" s="246">
        <v>0</v>
      </c>
      <c r="S4" s="340" t="s">
        <v>238</v>
      </c>
      <c r="T4" s="265">
        <v>2000</v>
      </c>
      <c r="U4" s="266">
        <v>800</v>
      </c>
      <c r="V4" s="266">
        <v>300</v>
      </c>
      <c r="W4" s="266">
        <v>300</v>
      </c>
      <c r="X4" s="266">
        <v>200</v>
      </c>
      <c r="Y4" s="266">
        <v>200</v>
      </c>
      <c r="Z4" s="266">
        <v>500</v>
      </c>
      <c r="AA4" s="266">
        <f t="shared" ref="AA4:AA10" si="1">SUM(T4:Z4)</f>
        <v>4300</v>
      </c>
      <c r="AB4" s="266">
        <v>500</v>
      </c>
      <c r="AC4" s="266">
        <v>10</v>
      </c>
      <c r="AD4" s="266">
        <v>910</v>
      </c>
      <c r="AE4" s="71">
        <v>0</v>
      </c>
      <c r="AF4" s="71">
        <v>0</v>
      </c>
      <c r="AG4" s="71">
        <v>100</v>
      </c>
      <c r="AH4" s="71">
        <v>0</v>
      </c>
      <c r="AI4" s="71">
        <f t="shared" ref="AI4:AI10" si="2">SUM(AA4:AH4)</f>
        <v>5820</v>
      </c>
      <c r="AJ4" s="71">
        <f>H4</f>
        <v>0</v>
      </c>
      <c r="AK4" s="91">
        <f t="shared" ref="AK4:AK9" si="3">AA4/F4*AJ4</f>
        <v>0</v>
      </c>
      <c r="AL4" s="71">
        <f t="shared" ref="AL4:AL9" si="4">G4*2</f>
        <v>0</v>
      </c>
      <c r="AM4" s="71">
        <v>0</v>
      </c>
      <c r="AN4" s="71"/>
      <c r="AO4" s="71">
        <v>622.4</v>
      </c>
      <c r="AP4" s="71">
        <f>SUM(AK4:AO4)</f>
        <v>622.4</v>
      </c>
      <c r="AQ4" s="71">
        <f>AI4-AP4</f>
        <v>5197.6</v>
      </c>
      <c r="AR4" s="266"/>
      <c r="AS4" s="359" t="s">
        <v>238</v>
      </c>
    </row>
    <row r="5" s="224" customFormat="1" ht="51" customHeight="1" spans="1:45">
      <c r="A5" s="16">
        <f t="shared" si="0"/>
        <v>2</v>
      </c>
      <c r="B5" s="435" t="s">
        <v>239</v>
      </c>
      <c r="C5" s="270" t="s">
        <v>240</v>
      </c>
      <c r="D5" s="243">
        <v>45573</v>
      </c>
      <c r="E5" s="244" t="s">
        <v>49</v>
      </c>
      <c r="F5" s="434">
        <v>31</v>
      </c>
      <c r="G5" s="246">
        <v>0</v>
      </c>
      <c r="H5" s="246">
        <v>0</v>
      </c>
      <c r="I5" s="246">
        <v>0</v>
      </c>
      <c r="J5" s="246">
        <v>0</v>
      </c>
      <c r="K5" s="246">
        <v>0</v>
      </c>
      <c r="L5" s="246">
        <v>0</v>
      </c>
      <c r="M5" s="246">
        <v>0</v>
      </c>
      <c r="N5" s="246">
        <v>0</v>
      </c>
      <c r="O5" s="251"/>
      <c r="P5" s="246">
        <v>0</v>
      </c>
      <c r="Q5" s="246">
        <v>0</v>
      </c>
      <c r="R5" s="246">
        <v>0</v>
      </c>
      <c r="S5" s="340" t="s">
        <v>238</v>
      </c>
      <c r="T5" s="265">
        <v>2000</v>
      </c>
      <c r="U5" s="266">
        <v>800</v>
      </c>
      <c r="V5" s="266">
        <v>300</v>
      </c>
      <c r="W5" s="266">
        <v>300</v>
      </c>
      <c r="X5" s="266">
        <v>200</v>
      </c>
      <c r="Y5" s="266">
        <v>100</v>
      </c>
      <c r="Z5" s="266">
        <v>200</v>
      </c>
      <c r="AA5" s="266">
        <f t="shared" si="1"/>
        <v>3900</v>
      </c>
      <c r="AB5" s="346">
        <v>500</v>
      </c>
      <c r="AC5" s="266"/>
      <c r="AD5" s="266">
        <v>660</v>
      </c>
      <c r="AE5" s="71">
        <v>0</v>
      </c>
      <c r="AF5" s="71">
        <v>0</v>
      </c>
      <c r="AG5" s="71">
        <v>400</v>
      </c>
      <c r="AH5" s="71">
        <v>0</v>
      </c>
      <c r="AI5" s="71">
        <f t="shared" si="2"/>
        <v>5460</v>
      </c>
      <c r="AJ5" s="71">
        <f>H5</f>
        <v>0</v>
      </c>
      <c r="AK5" s="91">
        <f t="shared" si="3"/>
        <v>0</v>
      </c>
      <c r="AL5" s="71">
        <f t="shared" si="4"/>
        <v>0</v>
      </c>
      <c r="AM5" s="71"/>
      <c r="AN5" s="71"/>
      <c r="AO5" s="71">
        <v>622.4</v>
      </c>
      <c r="AP5" s="71">
        <f t="shared" ref="AP5:AP10" si="5">SUM(AK5:AO5)</f>
        <v>622.4</v>
      </c>
      <c r="AQ5" s="71">
        <f t="shared" ref="AQ5:AQ10" si="6">AI5-AP5</f>
        <v>4837.6</v>
      </c>
      <c r="AR5" s="346"/>
      <c r="AS5" s="359" t="s">
        <v>238</v>
      </c>
    </row>
    <row r="6" s="224" customFormat="1" ht="60" customHeight="1" spans="1:45">
      <c r="A6" s="16">
        <f t="shared" si="0"/>
        <v>3</v>
      </c>
      <c r="B6" s="435" t="s">
        <v>241</v>
      </c>
      <c r="C6" s="270" t="s">
        <v>240</v>
      </c>
      <c r="D6" s="243">
        <v>45592</v>
      </c>
      <c r="E6" s="244" t="s">
        <v>49</v>
      </c>
      <c r="F6" s="434">
        <v>31</v>
      </c>
      <c r="G6" s="246">
        <v>0</v>
      </c>
      <c r="H6" s="246">
        <v>0</v>
      </c>
      <c r="I6" s="246">
        <v>0</v>
      </c>
      <c r="J6" s="246">
        <v>0</v>
      </c>
      <c r="K6" s="246">
        <v>5</v>
      </c>
      <c r="L6" s="246">
        <v>1</v>
      </c>
      <c r="M6" s="246">
        <v>0</v>
      </c>
      <c r="N6" s="246">
        <v>6</v>
      </c>
      <c r="O6" s="251" t="s">
        <v>242</v>
      </c>
      <c r="P6" s="246">
        <v>0</v>
      </c>
      <c r="Q6" s="246">
        <v>0</v>
      </c>
      <c r="R6" s="246">
        <v>0</v>
      </c>
      <c r="S6" s="340" t="s">
        <v>243</v>
      </c>
      <c r="T6" s="265">
        <v>2000</v>
      </c>
      <c r="U6" s="266">
        <v>600</v>
      </c>
      <c r="V6" s="266">
        <v>300</v>
      </c>
      <c r="W6" s="266">
        <v>200</v>
      </c>
      <c r="X6" s="266">
        <v>200</v>
      </c>
      <c r="Y6" s="266">
        <v>100</v>
      </c>
      <c r="Z6" s="266">
        <v>100</v>
      </c>
      <c r="AA6" s="266">
        <f t="shared" si="1"/>
        <v>3500</v>
      </c>
      <c r="AB6" s="346">
        <v>500</v>
      </c>
      <c r="AC6" s="266"/>
      <c r="AD6" s="440">
        <v>550</v>
      </c>
      <c r="AE6" s="71">
        <v>0</v>
      </c>
      <c r="AF6" s="71">
        <v>0</v>
      </c>
      <c r="AG6" s="71">
        <v>0</v>
      </c>
      <c r="AH6" s="71">
        <v>0</v>
      </c>
      <c r="AI6" s="71">
        <f t="shared" si="2"/>
        <v>4550</v>
      </c>
      <c r="AJ6" s="71">
        <f>H6</f>
        <v>0</v>
      </c>
      <c r="AK6" s="91">
        <f t="shared" si="3"/>
        <v>0</v>
      </c>
      <c r="AL6" s="71">
        <f t="shared" si="4"/>
        <v>0</v>
      </c>
      <c r="AM6" s="71">
        <v>0</v>
      </c>
      <c r="AN6" s="71"/>
      <c r="AO6" s="71"/>
      <c r="AP6" s="71">
        <f t="shared" si="5"/>
        <v>0</v>
      </c>
      <c r="AQ6" s="71">
        <f t="shared" si="6"/>
        <v>4550</v>
      </c>
      <c r="AR6" s="266"/>
      <c r="AS6" s="359" t="s">
        <v>244</v>
      </c>
    </row>
    <row r="7" s="224" customFormat="1" ht="51" customHeight="1" spans="1:45">
      <c r="A7" s="16">
        <f t="shared" si="0"/>
        <v>4</v>
      </c>
      <c r="B7" s="435" t="s">
        <v>245</v>
      </c>
      <c r="C7" s="270" t="s">
        <v>240</v>
      </c>
      <c r="D7" s="243">
        <v>45617</v>
      </c>
      <c r="E7" s="244" t="s">
        <v>49</v>
      </c>
      <c r="F7" s="434">
        <v>31</v>
      </c>
      <c r="G7" s="246">
        <v>0</v>
      </c>
      <c r="H7" s="246">
        <v>0</v>
      </c>
      <c r="I7" s="246">
        <v>0</v>
      </c>
      <c r="J7" s="246">
        <v>0</v>
      </c>
      <c r="K7" s="246">
        <v>0</v>
      </c>
      <c r="L7" s="246">
        <v>0</v>
      </c>
      <c r="M7" s="246">
        <v>0</v>
      </c>
      <c r="N7" s="246">
        <v>0</v>
      </c>
      <c r="O7" s="251"/>
      <c r="P7" s="246">
        <v>0</v>
      </c>
      <c r="Q7" s="246">
        <v>0</v>
      </c>
      <c r="R7" s="246">
        <v>0</v>
      </c>
      <c r="S7" s="340" t="s">
        <v>238</v>
      </c>
      <c r="T7" s="265">
        <v>2000</v>
      </c>
      <c r="U7" s="266">
        <v>300</v>
      </c>
      <c r="V7" s="266">
        <v>300</v>
      </c>
      <c r="W7" s="266">
        <v>200</v>
      </c>
      <c r="X7" s="266">
        <v>200</v>
      </c>
      <c r="Y7" s="266">
        <v>100</v>
      </c>
      <c r="Z7" s="266">
        <v>100</v>
      </c>
      <c r="AA7" s="266">
        <f t="shared" si="1"/>
        <v>3200</v>
      </c>
      <c r="AB7" s="266">
        <v>500</v>
      </c>
      <c r="AC7" s="266"/>
      <c r="AD7" s="266">
        <v>440</v>
      </c>
      <c r="AE7" s="71">
        <v>0</v>
      </c>
      <c r="AF7" s="71">
        <v>0</v>
      </c>
      <c r="AG7" s="71">
        <v>0</v>
      </c>
      <c r="AH7" s="71">
        <v>0</v>
      </c>
      <c r="AI7" s="71">
        <f t="shared" si="2"/>
        <v>4140</v>
      </c>
      <c r="AJ7" s="71">
        <f>H7</f>
        <v>0</v>
      </c>
      <c r="AK7" s="91">
        <f t="shared" si="3"/>
        <v>0</v>
      </c>
      <c r="AL7" s="71">
        <f t="shared" si="4"/>
        <v>0</v>
      </c>
      <c r="AM7" s="71">
        <v>0</v>
      </c>
      <c r="AN7" s="71"/>
      <c r="AO7" s="71">
        <v>537.4</v>
      </c>
      <c r="AP7" s="71">
        <f t="shared" si="5"/>
        <v>537.4</v>
      </c>
      <c r="AQ7" s="71">
        <f t="shared" si="6"/>
        <v>3602.6</v>
      </c>
      <c r="AR7" s="266"/>
      <c r="AS7" s="359" t="s">
        <v>238</v>
      </c>
    </row>
    <row r="8" s="224" customFormat="1" ht="51" customHeight="1" spans="1:45">
      <c r="A8" s="16">
        <f t="shared" si="0"/>
        <v>5</v>
      </c>
      <c r="B8" s="435" t="s">
        <v>246</v>
      </c>
      <c r="C8" s="250" t="s">
        <v>240</v>
      </c>
      <c r="D8" s="243">
        <v>45614</v>
      </c>
      <c r="E8" s="244" t="s">
        <v>49</v>
      </c>
      <c r="F8" s="434">
        <v>31</v>
      </c>
      <c r="G8" s="246">
        <v>0</v>
      </c>
      <c r="H8" s="246">
        <v>0</v>
      </c>
      <c r="I8" s="246">
        <v>0</v>
      </c>
      <c r="J8" s="246">
        <v>0</v>
      </c>
      <c r="K8" s="246">
        <v>0</v>
      </c>
      <c r="L8" s="246">
        <v>0</v>
      </c>
      <c r="M8" s="246">
        <v>0</v>
      </c>
      <c r="N8" s="246">
        <v>0</v>
      </c>
      <c r="O8" s="261" t="s">
        <v>247</v>
      </c>
      <c r="P8" s="246">
        <v>0</v>
      </c>
      <c r="Q8" s="246">
        <v>0</v>
      </c>
      <c r="R8" s="246">
        <v>0</v>
      </c>
      <c r="S8" s="340" t="s">
        <v>238</v>
      </c>
      <c r="T8" s="265">
        <v>2000</v>
      </c>
      <c r="U8" s="266">
        <v>800</v>
      </c>
      <c r="V8" s="266">
        <v>300</v>
      </c>
      <c r="W8" s="266">
        <v>500</v>
      </c>
      <c r="X8" s="266">
        <v>200</v>
      </c>
      <c r="Y8" s="266">
        <v>200</v>
      </c>
      <c r="Z8" s="266">
        <v>500</v>
      </c>
      <c r="AA8" s="266">
        <f t="shared" si="1"/>
        <v>4500</v>
      </c>
      <c r="AB8" s="266">
        <v>500</v>
      </c>
      <c r="AC8" s="266"/>
      <c r="AD8" s="266"/>
      <c r="AE8" s="71">
        <v>0</v>
      </c>
      <c r="AF8" s="71">
        <v>0</v>
      </c>
      <c r="AG8" s="71">
        <v>0</v>
      </c>
      <c r="AH8" s="71">
        <v>0</v>
      </c>
      <c r="AI8" s="71">
        <f t="shared" si="2"/>
        <v>5000</v>
      </c>
      <c r="AJ8" s="71">
        <f>H8</f>
        <v>0</v>
      </c>
      <c r="AK8" s="91">
        <f t="shared" si="3"/>
        <v>0</v>
      </c>
      <c r="AL8" s="71">
        <f t="shared" si="4"/>
        <v>0</v>
      </c>
      <c r="AM8" s="71">
        <v>0</v>
      </c>
      <c r="AN8" s="71"/>
      <c r="AO8" s="71"/>
      <c r="AP8" s="71">
        <f t="shared" si="5"/>
        <v>0</v>
      </c>
      <c r="AQ8" s="71">
        <f t="shared" si="6"/>
        <v>5000</v>
      </c>
      <c r="AR8" s="266"/>
      <c r="AS8" s="359" t="s">
        <v>248</v>
      </c>
    </row>
    <row r="9" s="224" customFormat="1" ht="51" customHeight="1" spans="1:45">
      <c r="A9" s="16">
        <f t="shared" si="0"/>
        <v>6</v>
      </c>
      <c r="B9" s="435" t="s">
        <v>249</v>
      </c>
      <c r="C9" s="270" t="s">
        <v>250</v>
      </c>
      <c r="D9" s="243">
        <v>45660</v>
      </c>
      <c r="E9" s="244" t="s">
        <v>49</v>
      </c>
      <c r="F9" s="434">
        <v>31</v>
      </c>
      <c r="G9" s="246">
        <v>0</v>
      </c>
      <c r="H9" s="246">
        <v>0</v>
      </c>
      <c r="I9" s="246">
        <v>0</v>
      </c>
      <c r="J9" s="246">
        <v>0</v>
      </c>
      <c r="K9" s="246">
        <v>0</v>
      </c>
      <c r="L9" s="246">
        <v>0</v>
      </c>
      <c r="M9" s="246">
        <v>0</v>
      </c>
      <c r="N9" s="246">
        <v>0</v>
      </c>
      <c r="O9" s="251"/>
      <c r="P9" s="246">
        <v>0</v>
      </c>
      <c r="Q9" s="246">
        <v>0</v>
      </c>
      <c r="R9" s="246">
        <v>0</v>
      </c>
      <c r="S9" s="340" t="s">
        <v>238</v>
      </c>
      <c r="T9" s="265">
        <v>2000</v>
      </c>
      <c r="U9" s="266">
        <v>800</v>
      </c>
      <c r="V9" s="266">
        <v>300</v>
      </c>
      <c r="W9" s="266">
        <v>300</v>
      </c>
      <c r="X9" s="266">
        <v>200</v>
      </c>
      <c r="Y9" s="266">
        <v>100</v>
      </c>
      <c r="Z9" s="266">
        <v>200</v>
      </c>
      <c r="AA9" s="266">
        <f t="shared" si="1"/>
        <v>3900</v>
      </c>
      <c r="AB9" s="74">
        <f>500+330</f>
        <v>830</v>
      </c>
      <c r="AC9" s="407"/>
      <c r="AD9" s="74">
        <v>660</v>
      </c>
      <c r="AE9" s="73">
        <v>0</v>
      </c>
      <c r="AF9" s="73">
        <v>0</v>
      </c>
      <c r="AG9" s="73">
        <v>100</v>
      </c>
      <c r="AH9" s="73">
        <v>100</v>
      </c>
      <c r="AI9" s="71">
        <f t="shared" si="2"/>
        <v>5590</v>
      </c>
      <c r="AJ9" s="73"/>
      <c r="AK9" s="91">
        <f t="shared" si="3"/>
        <v>0</v>
      </c>
      <c r="AL9" s="73">
        <f t="shared" si="4"/>
        <v>0</v>
      </c>
      <c r="AM9" s="73">
        <v>0</v>
      </c>
      <c r="AN9" s="73"/>
      <c r="AO9" s="71">
        <v>537.4</v>
      </c>
      <c r="AP9" s="71">
        <f t="shared" si="5"/>
        <v>537.4</v>
      </c>
      <c r="AQ9" s="71">
        <f t="shared" si="6"/>
        <v>5052.6</v>
      </c>
      <c r="AR9" s="407"/>
      <c r="AS9" s="359" t="s">
        <v>251</v>
      </c>
    </row>
    <row r="10" s="224" customFormat="1" ht="51" customHeight="1" spans="1:45">
      <c r="A10" s="16">
        <f t="shared" si="0"/>
        <v>7</v>
      </c>
      <c r="B10" s="435" t="s">
        <v>252</v>
      </c>
      <c r="C10" s="270" t="s">
        <v>240</v>
      </c>
      <c r="D10" s="243">
        <v>45793</v>
      </c>
      <c r="E10" s="333" t="s">
        <v>65</v>
      </c>
      <c r="F10" s="270">
        <v>16</v>
      </c>
      <c r="G10" s="246"/>
      <c r="H10" s="246"/>
      <c r="I10" s="246"/>
      <c r="J10" s="246"/>
      <c r="K10" s="246"/>
      <c r="L10" s="246"/>
      <c r="M10" s="246"/>
      <c r="N10" s="246"/>
      <c r="O10" s="251" t="s">
        <v>253</v>
      </c>
      <c r="P10" s="246"/>
      <c r="Q10" s="246"/>
      <c r="R10" s="246"/>
      <c r="S10" s="340" t="s">
        <v>254</v>
      </c>
      <c r="T10" s="265">
        <f>3500/31*16</f>
        <v>1806.45161290323</v>
      </c>
      <c r="U10" s="266">
        <v>0</v>
      </c>
      <c r="V10" s="266">
        <v>0</v>
      </c>
      <c r="W10" s="266">
        <v>0</v>
      </c>
      <c r="X10" s="266">
        <v>0</v>
      </c>
      <c r="Y10" s="266">
        <v>0</v>
      </c>
      <c r="Z10" s="266">
        <v>0</v>
      </c>
      <c r="AA10" s="266">
        <f t="shared" si="1"/>
        <v>1806.45161290323</v>
      </c>
      <c r="AB10" s="407"/>
      <c r="AC10" s="407"/>
      <c r="AD10" s="407"/>
      <c r="AE10" s="73"/>
      <c r="AF10" s="73"/>
      <c r="AG10" s="73"/>
      <c r="AH10" s="73"/>
      <c r="AI10" s="71">
        <f t="shared" si="2"/>
        <v>1806.45161290323</v>
      </c>
      <c r="AJ10" s="73"/>
      <c r="AK10" s="91"/>
      <c r="AL10" s="73"/>
      <c r="AM10" s="73"/>
      <c r="AN10" s="73"/>
      <c r="AO10" s="71">
        <v>537.4</v>
      </c>
      <c r="AP10" s="71">
        <f t="shared" si="5"/>
        <v>537.4</v>
      </c>
      <c r="AQ10" s="71">
        <f t="shared" si="6"/>
        <v>1269.05161290323</v>
      </c>
      <c r="AR10" s="407"/>
      <c r="AS10" s="359" t="s">
        <v>255</v>
      </c>
    </row>
    <row r="11" s="224" customFormat="1" ht="51" customHeight="1" spans="1:45">
      <c r="A11" s="436"/>
      <c r="B11" s="266" t="s">
        <v>36</v>
      </c>
      <c r="C11" s="347"/>
      <c r="D11" s="347"/>
      <c r="E11" s="347"/>
      <c r="F11" s="34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71"/>
      <c r="R11" s="437"/>
      <c r="S11" s="347"/>
      <c r="T11" s="438">
        <f>SUM(T4:T10)</f>
        <v>13806.4516129032</v>
      </c>
      <c r="U11" s="438">
        <f t="shared" ref="U11:AQ11" si="7">SUM(U4:U10)</f>
        <v>4100</v>
      </c>
      <c r="V11" s="438">
        <f t="shared" si="7"/>
        <v>1800</v>
      </c>
      <c r="W11" s="438">
        <f t="shared" si="7"/>
        <v>1800</v>
      </c>
      <c r="X11" s="438">
        <f t="shared" si="7"/>
        <v>1200</v>
      </c>
      <c r="Y11" s="438">
        <f t="shared" si="7"/>
        <v>800</v>
      </c>
      <c r="Z11" s="438">
        <f t="shared" si="7"/>
        <v>1600</v>
      </c>
      <c r="AA11" s="438">
        <f t="shared" si="7"/>
        <v>25106.4516129032</v>
      </c>
      <c r="AB11" s="438">
        <f t="shared" si="7"/>
        <v>3330</v>
      </c>
      <c r="AC11" s="438">
        <f t="shared" si="7"/>
        <v>10</v>
      </c>
      <c r="AD11" s="438">
        <f t="shared" si="7"/>
        <v>3220</v>
      </c>
      <c r="AE11" s="438">
        <f t="shared" si="7"/>
        <v>0</v>
      </c>
      <c r="AF11" s="438">
        <f t="shared" si="7"/>
        <v>0</v>
      </c>
      <c r="AG11" s="438">
        <f t="shared" si="7"/>
        <v>600</v>
      </c>
      <c r="AH11" s="438">
        <f t="shared" si="7"/>
        <v>100</v>
      </c>
      <c r="AI11" s="438">
        <f t="shared" si="7"/>
        <v>32366.4516129032</v>
      </c>
      <c r="AJ11" s="438">
        <f t="shared" si="7"/>
        <v>0</v>
      </c>
      <c r="AK11" s="438">
        <f t="shared" si="7"/>
        <v>0</v>
      </c>
      <c r="AL11" s="438">
        <f t="shared" si="7"/>
        <v>0</v>
      </c>
      <c r="AM11" s="438">
        <f t="shared" si="7"/>
        <v>0</v>
      </c>
      <c r="AN11" s="438">
        <f t="shared" si="7"/>
        <v>0</v>
      </c>
      <c r="AO11" s="438">
        <f t="shared" si="7"/>
        <v>2857</v>
      </c>
      <c r="AP11" s="438">
        <f t="shared" si="7"/>
        <v>2857</v>
      </c>
      <c r="AQ11" s="438">
        <f t="shared" si="7"/>
        <v>29509.4516129032</v>
      </c>
      <c r="AR11" s="438"/>
      <c r="AS11" s="359" t="s">
        <v>256</v>
      </c>
    </row>
    <row r="14" s="228" customFormat="1" spans="1:1">
      <c r="A14" s="430" t="s">
        <v>257</v>
      </c>
    </row>
    <row r="15" spans="45:45">
      <c r="AS15" s="224" t="s">
        <v>84</v>
      </c>
    </row>
    <row r="16" s="224" customFormat="1" spans="1:1">
      <c r="A16" s="229"/>
    </row>
    <row r="17" s="224" customFormat="1" spans="1:1">
      <c r="A17" s="229"/>
    </row>
    <row r="18" s="224" customFormat="1" spans="1:26">
      <c r="A18" s="229"/>
      <c r="T18" s="439"/>
      <c r="U18" s="432"/>
      <c r="V18" s="432"/>
      <c r="W18" s="432"/>
      <c r="X18" s="432"/>
      <c r="Y18" s="432"/>
      <c r="Z18" s="432"/>
    </row>
  </sheetData>
  <mergeCells count="44">
    <mergeCell ref="T1:AR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4">
    <cfRule type="duplicateValues" dxfId="0" priority="2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V68"/>
  <sheetViews>
    <sheetView workbookViewId="0">
      <pane xSplit="6" ySplit="3" topLeftCell="Y64" activePane="bottomRight" state="frozen"/>
      <selection/>
      <selection pane="topRight"/>
      <selection pane="bottomLeft"/>
      <selection pane="bottomRight" activeCell="AS4" sqref="AS4:AS65"/>
    </sheetView>
  </sheetViews>
  <sheetFormatPr defaultColWidth="8.30833333333333" defaultRowHeight="38" customHeight="1"/>
  <cols>
    <col min="1" max="1" width="6.4" style="229" customWidth="1"/>
    <col min="2" max="2" width="16.25" style="356" customWidth="1"/>
    <col min="3" max="3" width="9.23333333333333" style="224" hidden="1" customWidth="1"/>
    <col min="4" max="4" width="10.3416666666667" style="224" hidden="1" customWidth="1"/>
    <col min="5" max="6" width="9.23333333333333" style="224" hidden="1" customWidth="1"/>
    <col min="7" max="7" width="5.125" style="224" hidden="1" customWidth="1"/>
    <col min="8" max="8" width="6.925" style="224" hidden="1" customWidth="1"/>
    <col min="9" max="9" width="5.11666666666667" style="224" hidden="1" customWidth="1"/>
    <col min="10" max="12" width="5.30833333333333" style="224" hidden="1" customWidth="1"/>
    <col min="13" max="14" width="6.525" style="224" hidden="1" customWidth="1"/>
    <col min="15" max="15" width="24.375" style="357" hidden="1" customWidth="1"/>
    <col min="16" max="16" width="5.31666666666667" style="224" hidden="1" customWidth="1"/>
    <col min="17" max="17" width="7.225" style="224" hidden="1" customWidth="1"/>
    <col min="18" max="18" width="5.31666666666667" style="224" hidden="1" customWidth="1"/>
    <col min="19" max="19" width="17.375" style="224" hidden="1" customWidth="1"/>
    <col min="20" max="20" width="8.03333333333333" style="224" hidden="1" customWidth="1"/>
    <col min="21" max="21" width="12" style="224" hidden="1" customWidth="1"/>
    <col min="22" max="22" width="11.8833333333333" style="224" hidden="1" customWidth="1"/>
    <col min="23" max="23" width="12.2333333333333" style="224" hidden="1" customWidth="1"/>
    <col min="24" max="26" width="9.23333333333333" style="224" hidden="1" customWidth="1"/>
    <col min="27" max="27" width="8.54166666666667" style="224" hidden="1" customWidth="1"/>
    <col min="28" max="28" width="11.75" style="224" customWidth="1"/>
    <col min="29" max="29" width="8.625" style="224" customWidth="1"/>
    <col min="30" max="34" width="7.71666666666667" style="224" customWidth="1"/>
    <col min="35" max="35" width="9.675" style="224" customWidth="1"/>
    <col min="36" max="36" width="11.3083333333333" style="224" customWidth="1"/>
    <col min="37" max="37" width="9.23333333333333" style="224" customWidth="1"/>
    <col min="38" max="38" width="10.625" style="224" customWidth="1"/>
    <col min="39" max="42" width="9.23333333333333" style="224" customWidth="1"/>
    <col min="43" max="43" width="10.5416666666667" style="224" customWidth="1"/>
    <col min="44" max="44" width="10.7333333333333" style="224" customWidth="1"/>
    <col min="45" max="45" width="12.8083333333333" style="224" customWidth="1"/>
    <col min="46" max="46" width="9.23333333333333" style="224" customWidth="1"/>
    <col min="47" max="47" width="22.0666666666667" style="358" customWidth="1"/>
    <col min="48" max="48" width="23.25" style="359" customWidth="1"/>
    <col min="49" max="256" width="9.23333333333333" style="224" customWidth="1"/>
    <col min="257" max="257" width="9.23333333333333" style="224"/>
    <col min="258" max="16384" width="8.30833333333333" style="224"/>
  </cols>
  <sheetData>
    <row r="1" s="224" customFormat="1" customHeight="1" spans="1:48">
      <c r="A1" s="232" t="s">
        <v>258</v>
      </c>
      <c r="B1" s="360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387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413"/>
      <c r="AV1" s="359"/>
    </row>
    <row r="2" s="355" customFormat="1" ht="25" customHeight="1" spans="1:48">
      <c r="A2" s="361" t="s">
        <v>0</v>
      </c>
      <c r="B2" s="362" t="s">
        <v>1</v>
      </c>
      <c r="C2" s="363" t="s">
        <v>2</v>
      </c>
      <c r="D2" s="363" t="s">
        <v>3</v>
      </c>
      <c r="E2" s="363" t="s">
        <v>4</v>
      </c>
      <c r="F2" s="363" t="s">
        <v>5</v>
      </c>
      <c r="G2" s="363" t="s">
        <v>203</v>
      </c>
      <c r="H2" s="364" t="s">
        <v>7</v>
      </c>
      <c r="I2" s="363" t="s">
        <v>8</v>
      </c>
      <c r="J2" s="363" t="s">
        <v>9</v>
      </c>
      <c r="K2" s="363" t="s">
        <v>10</v>
      </c>
      <c r="L2" s="363" t="s">
        <v>11</v>
      </c>
      <c r="M2" s="363" t="s">
        <v>12</v>
      </c>
      <c r="N2" s="363" t="s">
        <v>13</v>
      </c>
      <c r="O2" s="388" t="s">
        <v>14</v>
      </c>
      <c r="P2" s="363" t="s">
        <v>15</v>
      </c>
      <c r="Q2" s="363" t="s">
        <v>16</v>
      </c>
      <c r="R2" s="363" t="s">
        <v>17</v>
      </c>
      <c r="S2" s="364" t="s">
        <v>18</v>
      </c>
      <c r="T2" s="363" t="s">
        <v>95</v>
      </c>
      <c r="U2" s="396" t="s">
        <v>21</v>
      </c>
      <c r="V2" s="396" t="s">
        <v>22</v>
      </c>
      <c r="W2" s="396" t="s">
        <v>23</v>
      </c>
      <c r="X2" s="396" t="s">
        <v>24</v>
      </c>
      <c r="Y2" s="396" t="s">
        <v>25</v>
      </c>
      <c r="Z2" s="396" t="s">
        <v>26</v>
      </c>
      <c r="AA2" s="396" t="s">
        <v>96</v>
      </c>
      <c r="AB2" s="401" t="s">
        <v>28</v>
      </c>
      <c r="AC2" s="402" t="s">
        <v>41</v>
      </c>
      <c r="AD2" s="402" t="s">
        <v>98</v>
      </c>
      <c r="AE2" s="396" t="s">
        <v>31</v>
      </c>
      <c r="AF2" s="403" t="s">
        <v>33</v>
      </c>
      <c r="AG2" s="403" t="s">
        <v>34</v>
      </c>
      <c r="AH2" s="403" t="s">
        <v>35</v>
      </c>
      <c r="AI2" s="403" t="s">
        <v>95</v>
      </c>
      <c r="AJ2" s="272" t="s">
        <v>36</v>
      </c>
      <c r="AK2" s="272" t="s">
        <v>37</v>
      </c>
      <c r="AL2" s="272" t="s">
        <v>39</v>
      </c>
      <c r="AM2" s="273" t="s">
        <v>38</v>
      </c>
      <c r="AN2" s="402" t="s">
        <v>259</v>
      </c>
      <c r="AO2" s="396" t="s">
        <v>260</v>
      </c>
      <c r="AP2" s="396" t="s">
        <v>205</v>
      </c>
      <c r="AQ2" s="396" t="s">
        <v>261</v>
      </c>
      <c r="AR2" s="272" t="s">
        <v>43</v>
      </c>
      <c r="AS2" s="272" t="s">
        <v>44</v>
      </c>
      <c r="AT2" s="396" t="s">
        <v>45</v>
      </c>
      <c r="AU2" s="414" t="s">
        <v>262</v>
      </c>
      <c r="AV2" s="415"/>
    </row>
    <row r="3" s="355" customFormat="1" ht="25" customHeight="1" spans="1:48">
      <c r="A3" s="361"/>
      <c r="B3" s="365"/>
      <c r="C3" s="366"/>
      <c r="D3" s="366"/>
      <c r="E3" s="366"/>
      <c r="F3" s="366"/>
      <c r="G3" s="366"/>
      <c r="H3" s="367" t="s">
        <v>20</v>
      </c>
      <c r="I3" s="366"/>
      <c r="J3" s="366"/>
      <c r="K3" s="366"/>
      <c r="L3" s="366"/>
      <c r="M3" s="366"/>
      <c r="N3" s="389"/>
      <c r="O3" s="390"/>
      <c r="P3" s="366"/>
      <c r="Q3" s="366"/>
      <c r="R3" s="366"/>
      <c r="S3" s="364"/>
      <c r="T3" s="366"/>
      <c r="U3" s="396"/>
      <c r="V3" s="396"/>
      <c r="W3" s="396"/>
      <c r="X3" s="396"/>
      <c r="Y3" s="396"/>
      <c r="Z3" s="396"/>
      <c r="AA3" s="396"/>
      <c r="AB3" s="401"/>
      <c r="AC3" s="404"/>
      <c r="AD3" s="404"/>
      <c r="AE3" s="396"/>
      <c r="AF3" s="405"/>
      <c r="AG3" s="405"/>
      <c r="AH3" s="405"/>
      <c r="AI3" s="405"/>
      <c r="AJ3" s="272"/>
      <c r="AK3" s="272"/>
      <c r="AL3" s="272"/>
      <c r="AM3" s="274"/>
      <c r="AN3" s="404"/>
      <c r="AO3" s="396"/>
      <c r="AP3" s="396"/>
      <c r="AQ3" s="396"/>
      <c r="AR3" s="272"/>
      <c r="AS3" s="272"/>
      <c r="AT3" s="396"/>
      <c r="AU3" s="414"/>
      <c r="AV3" s="415"/>
    </row>
    <row r="4" s="224" customFormat="1" ht="25" customHeight="1" spans="1:48">
      <c r="A4" s="368">
        <f>ROW()-3</f>
        <v>1</v>
      </c>
      <c r="B4" s="369" t="s">
        <v>263</v>
      </c>
      <c r="C4" s="244" t="s">
        <v>264</v>
      </c>
      <c r="D4" s="370" t="s">
        <v>265</v>
      </c>
      <c r="E4" s="244" t="s">
        <v>49</v>
      </c>
      <c r="F4" s="244">
        <v>31</v>
      </c>
      <c r="G4" s="262">
        <v>0</v>
      </c>
      <c r="H4" s="262">
        <v>0</v>
      </c>
      <c r="I4" s="262">
        <v>0</v>
      </c>
      <c r="J4" s="262">
        <v>0</v>
      </c>
      <c r="K4" s="262">
        <v>0</v>
      </c>
      <c r="L4" s="262">
        <v>0</v>
      </c>
      <c r="M4" s="262">
        <v>0</v>
      </c>
      <c r="N4" s="262">
        <v>0</v>
      </c>
      <c r="O4" s="391" t="s">
        <v>238</v>
      </c>
      <c r="P4" s="262">
        <v>0</v>
      </c>
      <c r="Q4" s="262">
        <v>0</v>
      </c>
      <c r="R4" s="262">
        <v>0</v>
      </c>
      <c r="S4" s="307">
        <v>4500</v>
      </c>
      <c r="T4" s="307"/>
      <c r="U4" s="347">
        <v>1400</v>
      </c>
      <c r="V4" s="347">
        <v>1000</v>
      </c>
      <c r="W4" s="347">
        <v>500</v>
      </c>
      <c r="X4" s="347">
        <v>500</v>
      </c>
      <c r="Y4" s="347">
        <v>500</v>
      </c>
      <c r="Z4" s="347">
        <v>100</v>
      </c>
      <c r="AA4" s="347">
        <v>500</v>
      </c>
      <c r="AB4" s="347">
        <f t="shared" ref="AB4:AB65" si="0">SUM(U4:AA4)</f>
        <v>4500</v>
      </c>
      <c r="AC4" s="266">
        <v>500</v>
      </c>
      <c r="AD4" s="266"/>
      <c r="AE4" s="266"/>
      <c r="AF4" s="71">
        <v>0</v>
      </c>
      <c r="AG4" s="71">
        <v>0</v>
      </c>
      <c r="AH4" s="71">
        <v>0</v>
      </c>
      <c r="AI4" s="71">
        <f t="shared" ref="AI4:AI9" si="1">T4</f>
        <v>0</v>
      </c>
      <c r="AJ4" s="71">
        <f>SUM(AB4:AI4)</f>
        <v>5000</v>
      </c>
      <c r="AK4" s="71">
        <f t="shared" ref="AK4:AK11" si="2">I4+H4+J4/2</f>
        <v>0</v>
      </c>
      <c r="AL4" s="71">
        <f t="shared" ref="AL4:AL65" si="3">AB4/F4*AK4</f>
        <v>0</v>
      </c>
      <c r="AM4" s="71">
        <f t="shared" ref="AM4:AM65" si="4">G4*2</f>
        <v>0</v>
      </c>
      <c r="AN4" s="71">
        <v>0</v>
      </c>
      <c r="AO4" s="71"/>
      <c r="AP4" s="71"/>
      <c r="AQ4" s="71">
        <v>0</v>
      </c>
      <c r="AR4" s="71">
        <f>SUM(AL4:AQ4)</f>
        <v>0</v>
      </c>
      <c r="AS4" s="71">
        <f>AJ4-AR4</f>
        <v>5000</v>
      </c>
      <c r="AT4" s="71"/>
      <c r="AU4" s="416" t="s">
        <v>238</v>
      </c>
      <c r="AV4" s="417"/>
    </row>
    <row r="5" s="224" customFormat="1" ht="25" customHeight="1" spans="1:48">
      <c r="A5" s="368">
        <f t="shared" ref="A5:A14" si="5">ROW()-3</f>
        <v>2</v>
      </c>
      <c r="B5" s="371" t="s">
        <v>266</v>
      </c>
      <c r="C5" s="244" t="s">
        <v>267</v>
      </c>
      <c r="D5" s="372" t="s">
        <v>265</v>
      </c>
      <c r="E5" s="244" t="s">
        <v>49</v>
      </c>
      <c r="F5" s="250">
        <v>31</v>
      </c>
      <c r="G5" s="251">
        <v>0</v>
      </c>
      <c r="H5" s="251">
        <v>0</v>
      </c>
      <c r="I5" s="251">
        <v>0</v>
      </c>
      <c r="J5" s="262">
        <v>0</v>
      </c>
      <c r="K5" s="251">
        <v>0</v>
      </c>
      <c r="L5" s="251">
        <v>0</v>
      </c>
      <c r="M5" s="251">
        <v>0</v>
      </c>
      <c r="N5" s="251">
        <v>0</v>
      </c>
      <c r="O5" s="392" t="s">
        <v>268</v>
      </c>
      <c r="P5" s="246">
        <v>0</v>
      </c>
      <c r="Q5" s="246">
        <v>0</v>
      </c>
      <c r="R5" s="246">
        <v>0</v>
      </c>
      <c r="S5" s="340">
        <v>3300</v>
      </c>
      <c r="T5" s="307"/>
      <c r="U5" s="265">
        <v>500</v>
      </c>
      <c r="V5" s="265">
        <v>800</v>
      </c>
      <c r="W5" s="265">
        <v>500</v>
      </c>
      <c r="X5" s="265">
        <v>300</v>
      </c>
      <c r="Y5" s="265">
        <v>300</v>
      </c>
      <c r="Z5" s="265">
        <v>300</v>
      </c>
      <c r="AA5" s="266">
        <v>600</v>
      </c>
      <c r="AB5" s="347">
        <f t="shared" si="0"/>
        <v>3300</v>
      </c>
      <c r="AC5" s="266"/>
      <c r="AD5" s="266"/>
      <c r="AE5" s="266"/>
      <c r="AF5" s="71">
        <v>0</v>
      </c>
      <c r="AG5" s="71">
        <v>0</v>
      </c>
      <c r="AH5" s="71">
        <v>0</v>
      </c>
      <c r="AI5" s="71">
        <f t="shared" si="1"/>
        <v>0</v>
      </c>
      <c r="AJ5" s="71">
        <f t="shared" ref="AJ5:AJ36" si="6">SUM(AB5:AI5)</f>
        <v>3300</v>
      </c>
      <c r="AK5" s="71">
        <f t="shared" si="2"/>
        <v>0</v>
      </c>
      <c r="AL5" s="71">
        <f t="shared" si="3"/>
        <v>0</v>
      </c>
      <c r="AM5" s="71">
        <f t="shared" si="4"/>
        <v>0</v>
      </c>
      <c r="AN5" s="71"/>
      <c r="AO5" s="71"/>
      <c r="AP5" s="71"/>
      <c r="AQ5" s="418">
        <v>0</v>
      </c>
      <c r="AR5" s="71">
        <f t="shared" ref="AR5:AR36" si="7">SUM(AL5:AQ5)</f>
        <v>0</v>
      </c>
      <c r="AS5" s="71">
        <f t="shared" ref="AS5:AS36" si="8">AJ5-AR5</f>
        <v>3300</v>
      </c>
      <c r="AT5" s="71"/>
      <c r="AU5" s="416" t="s">
        <v>268</v>
      </c>
      <c r="AV5" s="417"/>
    </row>
    <row r="6" s="224" customFormat="1" ht="25" customHeight="1" spans="1:48">
      <c r="A6" s="368">
        <f t="shared" si="5"/>
        <v>3</v>
      </c>
      <c r="B6" s="373" t="s">
        <v>269</v>
      </c>
      <c r="C6" s="244" t="s">
        <v>267</v>
      </c>
      <c r="D6" s="370" t="s">
        <v>265</v>
      </c>
      <c r="E6" s="244" t="s">
        <v>49</v>
      </c>
      <c r="F6" s="244">
        <v>31</v>
      </c>
      <c r="G6" s="262">
        <v>0</v>
      </c>
      <c r="H6" s="262">
        <v>0</v>
      </c>
      <c r="I6" s="262">
        <v>0</v>
      </c>
      <c r="J6" s="262">
        <v>0</v>
      </c>
      <c r="K6" s="262">
        <v>0</v>
      </c>
      <c r="L6" s="262">
        <v>0</v>
      </c>
      <c r="M6" s="262">
        <v>0</v>
      </c>
      <c r="N6" s="249">
        <v>0</v>
      </c>
      <c r="O6" s="393" t="s">
        <v>254</v>
      </c>
      <c r="P6" s="249">
        <v>0</v>
      </c>
      <c r="Q6" s="249">
        <v>0</v>
      </c>
      <c r="R6" s="249">
        <v>0</v>
      </c>
      <c r="S6" s="397">
        <v>1800</v>
      </c>
      <c r="T6" s="307"/>
      <c r="U6" s="265">
        <v>1100</v>
      </c>
      <c r="V6" s="266">
        <v>100</v>
      </c>
      <c r="W6" s="266">
        <v>100</v>
      </c>
      <c r="X6" s="266">
        <v>100</v>
      </c>
      <c r="Y6" s="266">
        <v>100</v>
      </c>
      <c r="Z6" s="266">
        <v>100</v>
      </c>
      <c r="AA6" s="266">
        <v>200</v>
      </c>
      <c r="AB6" s="347">
        <f t="shared" si="0"/>
        <v>1800</v>
      </c>
      <c r="AC6" s="266"/>
      <c r="AD6" s="266"/>
      <c r="AE6" s="266"/>
      <c r="AF6" s="71">
        <v>0</v>
      </c>
      <c r="AG6" s="71">
        <v>0</v>
      </c>
      <c r="AH6" s="71">
        <v>0</v>
      </c>
      <c r="AI6" s="71">
        <f t="shared" si="1"/>
        <v>0</v>
      </c>
      <c r="AJ6" s="71">
        <f t="shared" si="6"/>
        <v>1800</v>
      </c>
      <c r="AK6" s="71">
        <f t="shared" si="2"/>
        <v>0</v>
      </c>
      <c r="AL6" s="71">
        <f t="shared" si="3"/>
        <v>0</v>
      </c>
      <c r="AM6" s="71">
        <f t="shared" si="4"/>
        <v>0</v>
      </c>
      <c r="AN6" s="71"/>
      <c r="AO6" s="71"/>
      <c r="AP6" s="71"/>
      <c r="AQ6" s="71">
        <v>0</v>
      </c>
      <c r="AR6" s="71">
        <f t="shared" si="7"/>
        <v>0</v>
      </c>
      <c r="AS6" s="71">
        <f t="shared" si="8"/>
        <v>1800</v>
      </c>
      <c r="AT6" s="71"/>
      <c r="AU6" s="416" t="s">
        <v>254</v>
      </c>
      <c r="AV6" s="417"/>
    </row>
    <row r="7" s="224" customFormat="1" ht="25" customHeight="1" spans="1:48">
      <c r="A7" s="368">
        <f t="shared" si="5"/>
        <v>4</v>
      </c>
      <c r="B7" s="373" t="s">
        <v>270</v>
      </c>
      <c r="C7" s="244" t="s">
        <v>267</v>
      </c>
      <c r="D7" s="370" t="s">
        <v>265</v>
      </c>
      <c r="E7" s="244" t="s">
        <v>49</v>
      </c>
      <c r="F7" s="250">
        <v>31</v>
      </c>
      <c r="G7" s="262">
        <v>0</v>
      </c>
      <c r="H7" s="262">
        <v>0</v>
      </c>
      <c r="I7" s="262">
        <v>0</v>
      </c>
      <c r="J7" s="262">
        <v>0</v>
      </c>
      <c r="K7" s="262">
        <v>0</v>
      </c>
      <c r="L7" s="262">
        <v>0</v>
      </c>
      <c r="M7" s="262">
        <v>0</v>
      </c>
      <c r="N7" s="249">
        <v>0</v>
      </c>
      <c r="O7" s="393" t="s">
        <v>254</v>
      </c>
      <c r="P7" s="249">
        <v>0</v>
      </c>
      <c r="Q7" s="249">
        <v>0</v>
      </c>
      <c r="R7" s="249">
        <v>0</v>
      </c>
      <c r="S7" s="100">
        <v>2800</v>
      </c>
      <c r="T7" s="307"/>
      <c r="U7" s="265">
        <v>1500</v>
      </c>
      <c r="V7" s="347">
        <v>200</v>
      </c>
      <c r="W7" s="347">
        <v>300</v>
      </c>
      <c r="X7" s="347">
        <v>200</v>
      </c>
      <c r="Y7" s="347">
        <v>200</v>
      </c>
      <c r="Z7" s="347">
        <v>200</v>
      </c>
      <c r="AA7" s="347">
        <v>200</v>
      </c>
      <c r="AB7" s="347">
        <f t="shared" si="0"/>
        <v>2800</v>
      </c>
      <c r="AC7" s="266"/>
      <c r="AD7" s="266"/>
      <c r="AE7" s="266"/>
      <c r="AF7" s="71">
        <v>0</v>
      </c>
      <c r="AG7" s="71">
        <v>0</v>
      </c>
      <c r="AH7" s="71">
        <v>0</v>
      </c>
      <c r="AI7" s="71">
        <f t="shared" si="1"/>
        <v>0</v>
      </c>
      <c r="AJ7" s="71">
        <f t="shared" si="6"/>
        <v>2800</v>
      </c>
      <c r="AK7" s="71">
        <f t="shared" si="2"/>
        <v>0</v>
      </c>
      <c r="AL7" s="71">
        <f t="shared" si="3"/>
        <v>0</v>
      </c>
      <c r="AM7" s="71">
        <f t="shared" si="4"/>
        <v>0</v>
      </c>
      <c r="AN7" s="71"/>
      <c r="AO7" s="71"/>
      <c r="AP7" s="71"/>
      <c r="AQ7" s="71">
        <v>0</v>
      </c>
      <c r="AR7" s="71">
        <f t="shared" si="7"/>
        <v>0</v>
      </c>
      <c r="AS7" s="71">
        <f t="shared" si="8"/>
        <v>2800</v>
      </c>
      <c r="AT7" s="71"/>
      <c r="AU7" s="416" t="s">
        <v>254</v>
      </c>
      <c r="AV7" s="417"/>
    </row>
    <row r="8" s="224" customFormat="1" ht="41" customHeight="1" spans="1:48">
      <c r="A8" s="368">
        <f t="shared" si="5"/>
        <v>5</v>
      </c>
      <c r="B8" s="374" t="s">
        <v>271</v>
      </c>
      <c r="C8" s="244" t="s">
        <v>267</v>
      </c>
      <c r="D8" s="370" t="s">
        <v>265</v>
      </c>
      <c r="E8" s="244" t="s">
        <v>49</v>
      </c>
      <c r="F8" s="244">
        <v>31</v>
      </c>
      <c r="G8" s="262">
        <v>0</v>
      </c>
      <c r="H8" s="262">
        <v>0</v>
      </c>
      <c r="I8" s="262">
        <v>0</v>
      </c>
      <c r="J8" s="262">
        <v>0</v>
      </c>
      <c r="K8" s="262">
        <v>0</v>
      </c>
      <c r="L8" s="262">
        <v>0</v>
      </c>
      <c r="M8" s="262">
        <v>0</v>
      </c>
      <c r="N8" s="249">
        <v>0</v>
      </c>
      <c r="O8" s="393" t="s">
        <v>254</v>
      </c>
      <c r="P8" s="249">
        <v>0</v>
      </c>
      <c r="Q8" s="249">
        <v>0</v>
      </c>
      <c r="R8" s="249">
        <v>0</v>
      </c>
      <c r="S8" s="100">
        <v>2800</v>
      </c>
      <c r="T8" s="307"/>
      <c r="U8" s="265">
        <v>1500</v>
      </c>
      <c r="V8" s="347">
        <v>200</v>
      </c>
      <c r="W8" s="347">
        <v>300</v>
      </c>
      <c r="X8" s="347">
        <v>200</v>
      </c>
      <c r="Y8" s="347">
        <v>200</v>
      </c>
      <c r="Z8" s="347">
        <v>200</v>
      </c>
      <c r="AA8" s="347">
        <v>200</v>
      </c>
      <c r="AB8" s="347">
        <f t="shared" si="0"/>
        <v>2800</v>
      </c>
      <c r="AC8" s="266"/>
      <c r="AD8" s="266"/>
      <c r="AE8" s="266"/>
      <c r="AF8" s="71">
        <v>0</v>
      </c>
      <c r="AG8" s="71">
        <v>0</v>
      </c>
      <c r="AH8" s="71">
        <v>0</v>
      </c>
      <c r="AI8" s="71">
        <f t="shared" si="1"/>
        <v>0</v>
      </c>
      <c r="AJ8" s="71">
        <f t="shared" si="6"/>
        <v>2800</v>
      </c>
      <c r="AK8" s="71">
        <f t="shared" si="2"/>
        <v>0</v>
      </c>
      <c r="AL8" s="71">
        <f t="shared" si="3"/>
        <v>0</v>
      </c>
      <c r="AM8" s="71">
        <f t="shared" si="4"/>
        <v>0</v>
      </c>
      <c r="AN8" s="71"/>
      <c r="AO8" s="71"/>
      <c r="AP8" s="71"/>
      <c r="AQ8" s="418">
        <v>0</v>
      </c>
      <c r="AR8" s="71">
        <f t="shared" si="7"/>
        <v>0</v>
      </c>
      <c r="AS8" s="71">
        <f t="shared" si="8"/>
        <v>2800</v>
      </c>
      <c r="AT8" s="71"/>
      <c r="AU8" s="416" t="s">
        <v>254</v>
      </c>
      <c r="AV8" s="417"/>
    </row>
    <row r="9" s="224" customFormat="1" ht="25" customHeight="1" spans="1:48">
      <c r="A9" s="368">
        <f t="shared" si="5"/>
        <v>6</v>
      </c>
      <c r="B9" s="373" t="s">
        <v>272</v>
      </c>
      <c r="C9" s="244" t="s">
        <v>273</v>
      </c>
      <c r="D9" s="370" t="s">
        <v>265</v>
      </c>
      <c r="E9" s="244" t="s">
        <v>49</v>
      </c>
      <c r="F9" s="250">
        <v>31</v>
      </c>
      <c r="G9" s="262">
        <v>0</v>
      </c>
      <c r="H9" s="262">
        <v>0</v>
      </c>
      <c r="I9" s="262">
        <v>0</v>
      </c>
      <c r="J9" s="262">
        <v>0</v>
      </c>
      <c r="K9" s="262">
        <v>0</v>
      </c>
      <c r="L9" s="262">
        <v>0</v>
      </c>
      <c r="M9" s="262">
        <v>0</v>
      </c>
      <c r="N9" s="249">
        <v>0</v>
      </c>
      <c r="O9" s="393" t="s">
        <v>254</v>
      </c>
      <c r="P9" s="249">
        <v>0</v>
      </c>
      <c r="Q9" s="249">
        <v>0</v>
      </c>
      <c r="R9" s="249">
        <v>0</v>
      </c>
      <c r="S9" s="100">
        <v>1700</v>
      </c>
      <c r="T9" s="307"/>
      <c r="U9" s="265">
        <v>1000</v>
      </c>
      <c r="V9" s="266">
        <v>100</v>
      </c>
      <c r="W9" s="266">
        <v>100</v>
      </c>
      <c r="X9" s="266">
        <v>100</v>
      </c>
      <c r="Y9" s="266">
        <v>100</v>
      </c>
      <c r="Z9" s="266">
        <v>100</v>
      </c>
      <c r="AA9" s="266">
        <v>200</v>
      </c>
      <c r="AB9" s="347">
        <f t="shared" si="0"/>
        <v>1700</v>
      </c>
      <c r="AC9" s="266"/>
      <c r="AD9" s="266"/>
      <c r="AE9" s="266"/>
      <c r="AF9" s="71">
        <v>0</v>
      </c>
      <c r="AG9" s="71">
        <v>0</v>
      </c>
      <c r="AH9" s="71">
        <v>0</v>
      </c>
      <c r="AI9" s="71">
        <f t="shared" si="1"/>
        <v>0</v>
      </c>
      <c r="AJ9" s="71">
        <f t="shared" si="6"/>
        <v>1700</v>
      </c>
      <c r="AK9" s="71">
        <f t="shared" si="2"/>
        <v>0</v>
      </c>
      <c r="AL9" s="71">
        <f t="shared" si="3"/>
        <v>0</v>
      </c>
      <c r="AM9" s="71">
        <f t="shared" si="4"/>
        <v>0</v>
      </c>
      <c r="AN9" s="71"/>
      <c r="AO9" s="71"/>
      <c r="AP9" s="71"/>
      <c r="AQ9" s="71">
        <v>0</v>
      </c>
      <c r="AR9" s="71">
        <f t="shared" si="7"/>
        <v>0</v>
      </c>
      <c r="AS9" s="71">
        <f t="shared" si="8"/>
        <v>1700</v>
      </c>
      <c r="AT9" s="71"/>
      <c r="AU9" s="416" t="s">
        <v>254</v>
      </c>
      <c r="AV9" s="417"/>
    </row>
    <row r="10" s="224" customFormat="1" ht="33" customHeight="1" spans="1:48">
      <c r="A10" s="368">
        <f t="shared" si="5"/>
        <v>7</v>
      </c>
      <c r="B10" s="373" t="s">
        <v>274</v>
      </c>
      <c r="C10" s="250" t="s">
        <v>273</v>
      </c>
      <c r="D10" s="372" t="s">
        <v>265</v>
      </c>
      <c r="E10" s="244" t="s">
        <v>49</v>
      </c>
      <c r="F10" s="244">
        <v>31</v>
      </c>
      <c r="G10" s="251">
        <v>0</v>
      </c>
      <c r="H10" s="251">
        <v>0</v>
      </c>
      <c r="I10" s="251">
        <v>0</v>
      </c>
      <c r="J10" s="262">
        <v>0</v>
      </c>
      <c r="K10" s="251">
        <v>0</v>
      </c>
      <c r="L10" s="251">
        <v>0</v>
      </c>
      <c r="M10" s="251">
        <v>0</v>
      </c>
      <c r="N10" s="246">
        <v>0</v>
      </c>
      <c r="O10" s="392" t="s">
        <v>275</v>
      </c>
      <c r="P10" s="246">
        <v>0</v>
      </c>
      <c r="Q10" s="246">
        <v>0</v>
      </c>
      <c r="R10" s="246">
        <v>0</v>
      </c>
      <c r="S10" s="340">
        <v>1700</v>
      </c>
      <c r="T10" s="307">
        <v>100</v>
      </c>
      <c r="U10" s="265">
        <v>1000</v>
      </c>
      <c r="V10" s="266">
        <v>200</v>
      </c>
      <c r="W10" s="266">
        <v>100</v>
      </c>
      <c r="X10" s="266">
        <v>100</v>
      </c>
      <c r="Y10" s="266">
        <v>100</v>
      </c>
      <c r="Z10" s="266">
        <v>100</v>
      </c>
      <c r="AA10" s="266">
        <v>100</v>
      </c>
      <c r="AB10" s="347">
        <f t="shared" si="0"/>
        <v>1700</v>
      </c>
      <c r="AC10" s="266"/>
      <c r="AD10" s="266"/>
      <c r="AE10" s="266"/>
      <c r="AF10" s="71">
        <v>0</v>
      </c>
      <c r="AG10" s="71">
        <v>0</v>
      </c>
      <c r="AH10" s="71">
        <v>0</v>
      </c>
      <c r="AI10" s="71">
        <f t="shared" ref="AI10:AI41" si="9">T10</f>
        <v>100</v>
      </c>
      <c r="AJ10" s="71">
        <f t="shared" si="6"/>
        <v>1800</v>
      </c>
      <c r="AK10" s="71">
        <f t="shared" si="2"/>
        <v>0</v>
      </c>
      <c r="AL10" s="71">
        <f t="shared" si="3"/>
        <v>0</v>
      </c>
      <c r="AM10" s="71">
        <f t="shared" si="4"/>
        <v>0</v>
      </c>
      <c r="AN10" s="71"/>
      <c r="AO10" s="71"/>
      <c r="AP10" s="71"/>
      <c r="AQ10" s="418">
        <v>0</v>
      </c>
      <c r="AR10" s="71">
        <f t="shared" si="7"/>
        <v>0</v>
      </c>
      <c r="AS10" s="71">
        <f t="shared" si="8"/>
        <v>1800</v>
      </c>
      <c r="AT10" s="71"/>
      <c r="AU10" s="416" t="s">
        <v>275</v>
      </c>
      <c r="AV10" s="417"/>
    </row>
    <row r="11" s="224" customFormat="1" ht="25" customHeight="1" spans="1:48">
      <c r="A11" s="368">
        <f t="shared" si="5"/>
        <v>8</v>
      </c>
      <c r="B11" s="373" t="s">
        <v>276</v>
      </c>
      <c r="C11" s="250" t="s">
        <v>273</v>
      </c>
      <c r="D11" s="372" t="s">
        <v>265</v>
      </c>
      <c r="E11" s="244" t="s">
        <v>49</v>
      </c>
      <c r="F11" s="250">
        <v>31</v>
      </c>
      <c r="G11" s="251">
        <v>0</v>
      </c>
      <c r="H11" s="251">
        <v>0</v>
      </c>
      <c r="I11" s="251">
        <v>0</v>
      </c>
      <c r="J11" s="262">
        <v>0</v>
      </c>
      <c r="K11" s="251">
        <v>0</v>
      </c>
      <c r="L11" s="251">
        <v>0</v>
      </c>
      <c r="M11" s="251">
        <v>0</v>
      </c>
      <c r="N11" s="246">
        <v>0</v>
      </c>
      <c r="O11" s="392" t="s">
        <v>254</v>
      </c>
      <c r="P11" s="246">
        <v>0</v>
      </c>
      <c r="Q11" s="246">
        <v>0</v>
      </c>
      <c r="R11" s="246">
        <v>0</v>
      </c>
      <c r="S11" s="340">
        <v>1700</v>
      </c>
      <c r="T11" s="307"/>
      <c r="U11" s="265">
        <v>1000</v>
      </c>
      <c r="V11" s="266">
        <v>200</v>
      </c>
      <c r="W11" s="266">
        <v>200</v>
      </c>
      <c r="X11" s="266">
        <v>100</v>
      </c>
      <c r="Y11" s="266">
        <v>0</v>
      </c>
      <c r="Z11" s="266">
        <v>100</v>
      </c>
      <c r="AA11" s="266">
        <v>100</v>
      </c>
      <c r="AB11" s="347">
        <f t="shared" si="0"/>
        <v>1700</v>
      </c>
      <c r="AC11" s="266"/>
      <c r="AD11" s="266"/>
      <c r="AE11" s="266"/>
      <c r="AF11" s="71">
        <v>0</v>
      </c>
      <c r="AG11" s="71">
        <v>0</v>
      </c>
      <c r="AH11" s="71">
        <v>0</v>
      </c>
      <c r="AI11" s="71">
        <f t="shared" si="9"/>
        <v>0</v>
      </c>
      <c r="AJ11" s="71">
        <f t="shared" si="6"/>
        <v>1700</v>
      </c>
      <c r="AK11" s="71">
        <f t="shared" si="2"/>
        <v>0</v>
      </c>
      <c r="AL11" s="71">
        <f t="shared" si="3"/>
        <v>0</v>
      </c>
      <c r="AM11" s="71">
        <f t="shared" si="4"/>
        <v>0</v>
      </c>
      <c r="AN11" s="71"/>
      <c r="AO11" s="71"/>
      <c r="AP11" s="71"/>
      <c r="AQ11" s="71">
        <v>0</v>
      </c>
      <c r="AR11" s="71">
        <f t="shared" si="7"/>
        <v>0</v>
      </c>
      <c r="AS11" s="71">
        <f t="shared" si="8"/>
        <v>1700</v>
      </c>
      <c r="AT11" s="71"/>
      <c r="AU11" s="416" t="s">
        <v>254</v>
      </c>
      <c r="AV11" s="417"/>
    </row>
    <row r="12" s="224" customFormat="1" ht="37" customHeight="1" spans="1:48">
      <c r="A12" s="368">
        <f t="shared" si="5"/>
        <v>9</v>
      </c>
      <c r="B12" s="375" t="s">
        <v>277</v>
      </c>
      <c r="C12" s="250" t="s">
        <v>278</v>
      </c>
      <c r="D12" s="372" t="s">
        <v>265</v>
      </c>
      <c r="E12" s="244" t="s">
        <v>49</v>
      </c>
      <c r="F12" s="244">
        <v>31</v>
      </c>
      <c r="G12" s="251">
        <v>0</v>
      </c>
      <c r="H12" s="251">
        <v>0</v>
      </c>
      <c r="I12" s="251">
        <v>0</v>
      </c>
      <c r="J12" s="262">
        <v>0</v>
      </c>
      <c r="K12" s="251">
        <v>0</v>
      </c>
      <c r="L12" s="251">
        <v>0</v>
      </c>
      <c r="M12" s="251">
        <v>0</v>
      </c>
      <c r="N12" s="246">
        <v>0</v>
      </c>
      <c r="O12" s="392" t="s">
        <v>279</v>
      </c>
      <c r="P12" s="246">
        <v>0</v>
      </c>
      <c r="Q12" s="246">
        <v>0</v>
      </c>
      <c r="R12" s="246">
        <v>0</v>
      </c>
      <c r="S12" s="340" t="s">
        <v>280</v>
      </c>
      <c r="T12" s="307"/>
      <c r="U12" s="265">
        <f t="shared" ref="U12:U18" si="10">1500/31*10+1400/31*21</f>
        <v>1432.25806451613</v>
      </c>
      <c r="V12" s="266">
        <v>0</v>
      </c>
      <c r="W12" s="266">
        <v>0</v>
      </c>
      <c r="X12" s="266">
        <v>0</v>
      </c>
      <c r="Y12" s="266">
        <v>0</v>
      </c>
      <c r="Z12" s="266">
        <v>0</v>
      </c>
      <c r="AA12" s="266">
        <v>0</v>
      </c>
      <c r="AB12" s="347">
        <f t="shared" si="0"/>
        <v>1432.25806451613</v>
      </c>
      <c r="AC12" s="266"/>
      <c r="AD12" s="266"/>
      <c r="AE12" s="266"/>
      <c r="AF12" s="71">
        <v>0</v>
      </c>
      <c r="AG12" s="71">
        <v>0</v>
      </c>
      <c r="AH12" s="71">
        <v>0</v>
      </c>
      <c r="AI12" s="71">
        <f t="shared" si="9"/>
        <v>0</v>
      </c>
      <c r="AJ12" s="71">
        <f t="shared" si="6"/>
        <v>1432.25806451613</v>
      </c>
      <c r="AK12" s="71"/>
      <c r="AL12" s="71">
        <f t="shared" si="3"/>
        <v>0</v>
      </c>
      <c r="AM12" s="71">
        <f t="shared" si="4"/>
        <v>0</v>
      </c>
      <c r="AN12" s="71"/>
      <c r="AO12" s="71"/>
      <c r="AP12" s="71"/>
      <c r="AQ12" s="418"/>
      <c r="AR12" s="71">
        <f t="shared" si="7"/>
        <v>0</v>
      </c>
      <c r="AS12" s="71">
        <f t="shared" si="8"/>
        <v>1432.25806451613</v>
      </c>
      <c r="AT12" s="71"/>
      <c r="AU12" s="416" t="s">
        <v>279</v>
      </c>
      <c r="AV12" s="417"/>
    </row>
    <row r="13" s="224" customFormat="1" ht="25" customHeight="1" spans="1:48">
      <c r="A13" s="368">
        <f t="shared" si="5"/>
        <v>10</v>
      </c>
      <c r="B13" s="373" t="s">
        <v>281</v>
      </c>
      <c r="C13" s="250" t="s">
        <v>278</v>
      </c>
      <c r="D13" s="372" t="s">
        <v>265</v>
      </c>
      <c r="E13" s="244" t="s">
        <v>49</v>
      </c>
      <c r="F13" s="250">
        <v>31</v>
      </c>
      <c r="G13" s="251">
        <v>0</v>
      </c>
      <c r="H13" s="251">
        <v>0</v>
      </c>
      <c r="I13" s="251">
        <v>0</v>
      </c>
      <c r="J13" s="262">
        <v>0</v>
      </c>
      <c r="K13" s="251">
        <v>0</v>
      </c>
      <c r="L13" s="251">
        <v>0</v>
      </c>
      <c r="M13" s="251">
        <v>0</v>
      </c>
      <c r="N13" s="246">
        <v>0</v>
      </c>
      <c r="O13" s="394" t="s">
        <v>254</v>
      </c>
      <c r="P13" s="246">
        <v>0</v>
      </c>
      <c r="Q13" s="246">
        <v>0</v>
      </c>
      <c r="R13" s="246">
        <v>0</v>
      </c>
      <c r="S13" s="340">
        <v>1700</v>
      </c>
      <c r="T13" s="307"/>
      <c r="U13" s="265">
        <v>1000</v>
      </c>
      <c r="V13" s="266">
        <v>200</v>
      </c>
      <c r="W13" s="266">
        <v>100</v>
      </c>
      <c r="X13" s="266">
        <v>100</v>
      </c>
      <c r="Y13" s="266">
        <v>100</v>
      </c>
      <c r="Z13" s="266">
        <v>100</v>
      </c>
      <c r="AA13" s="266">
        <v>100</v>
      </c>
      <c r="AB13" s="347">
        <f t="shared" si="0"/>
        <v>1700</v>
      </c>
      <c r="AC13" s="266"/>
      <c r="AD13" s="266"/>
      <c r="AE13" s="266"/>
      <c r="AF13" s="71">
        <v>0</v>
      </c>
      <c r="AG13" s="71">
        <v>0</v>
      </c>
      <c r="AH13" s="71">
        <v>0</v>
      </c>
      <c r="AI13" s="71">
        <f t="shared" si="9"/>
        <v>0</v>
      </c>
      <c r="AJ13" s="71">
        <f t="shared" si="6"/>
        <v>1700</v>
      </c>
      <c r="AK13" s="71">
        <f>I13+H13+J13/2</f>
        <v>0</v>
      </c>
      <c r="AL13" s="71">
        <f t="shared" si="3"/>
        <v>0</v>
      </c>
      <c r="AM13" s="71">
        <f t="shared" si="4"/>
        <v>0</v>
      </c>
      <c r="AN13" s="71"/>
      <c r="AO13" s="71"/>
      <c r="AP13" s="71"/>
      <c r="AQ13" s="71">
        <v>0</v>
      </c>
      <c r="AR13" s="71">
        <f t="shared" si="7"/>
        <v>0</v>
      </c>
      <c r="AS13" s="71">
        <f t="shared" si="8"/>
        <v>1700</v>
      </c>
      <c r="AT13" s="71"/>
      <c r="AU13" s="416" t="s">
        <v>254</v>
      </c>
      <c r="AV13" s="417"/>
    </row>
    <row r="14" s="224" customFormat="1" ht="25" customHeight="1" spans="1:48">
      <c r="A14" s="368">
        <f t="shared" si="5"/>
        <v>11</v>
      </c>
      <c r="B14" s="373" t="s">
        <v>282</v>
      </c>
      <c r="C14" s="250" t="s">
        <v>278</v>
      </c>
      <c r="D14" s="372" t="s">
        <v>265</v>
      </c>
      <c r="E14" s="244" t="s">
        <v>49</v>
      </c>
      <c r="F14" s="244">
        <v>31</v>
      </c>
      <c r="G14" s="251">
        <v>0</v>
      </c>
      <c r="H14" s="251">
        <v>0</v>
      </c>
      <c r="I14" s="251" t="s">
        <v>283</v>
      </c>
      <c r="J14" s="262">
        <v>0</v>
      </c>
      <c r="K14" s="251">
        <v>0</v>
      </c>
      <c r="L14" s="251">
        <v>0</v>
      </c>
      <c r="M14" s="251">
        <v>0</v>
      </c>
      <c r="N14" s="246">
        <v>0</v>
      </c>
      <c r="O14" s="394" t="s">
        <v>254</v>
      </c>
      <c r="P14" s="246">
        <v>0</v>
      </c>
      <c r="Q14" s="246">
        <v>0</v>
      </c>
      <c r="R14" s="246">
        <v>0</v>
      </c>
      <c r="S14" s="340">
        <v>1700</v>
      </c>
      <c r="T14" s="307"/>
      <c r="U14" s="265">
        <v>1000</v>
      </c>
      <c r="V14" s="266">
        <v>200</v>
      </c>
      <c r="W14" s="266">
        <v>100</v>
      </c>
      <c r="X14" s="266">
        <v>100</v>
      </c>
      <c r="Y14" s="266">
        <v>100</v>
      </c>
      <c r="Z14" s="266">
        <v>100</v>
      </c>
      <c r="AA14" s="266">
        <v>100</v>
      </c>
      <c r="AB14" s="347">
        <f t="shared" si="0"/>
        <v>1700</v>
      </c>
      <c r="AC14" s="266"/>
      <c r="AD14" s="266"/>
      <c r="AE14" s="266"/>
      <c r="AF14" s="71">
        <v>0</v>
      </c>
      <c r="AG14" s="71">
        <v>0</v>
      </c>
      <c r="AH14" s="71">
        <v>0</v>
      </c>
      <c r="AI14" s="71">
        <f t="shared" si="9"/>
        <v>0</v>
      </c>
      <c r="AJ14" s="71">
        <f t="shared" si="6"/>
        <v>1700</v>
      </c>
      <c r="AK14" s="71"/>
      <c r="AL14" s="71">
        <f t="shared" si="3"/>
        <v>0</v>
      </c>
      <c r="AM14" s="71">
        <f t="shared" si="4"/>
        <v>0</v>
      </c>
      <c r="AN14" s="71"/>
      <c r="AO14" s="71"/>
      <c r="AP14" s="71"/>
      <c r="AQ14" s="418">
        <v>0</v>
      </c>
      <c r="AR14" s="71">
        <f t="shared" si="7"/>
        <v>0</v>
      </c>
      <c r="AS14" s="71">
        <f t="shared" si="8"/>
        <v>1700</v>
      </c>
      <c r="AT14" s="71"/>
      <c r="AU14" s="416" t="s">
        <v>254</v>
      </c>
      <c r="AV14" s="417"/>
    </row>
    <row r="15" s="224" customFormat="1" customHeight="1" spans="1:48">
      <c r="A15" s="368">
        <f t="shared" ref="A15:A24" si="11">ROW()-3</f>
        <v>12</v>
      </c>
      <c r="B15" s="373" t="s">
        <v>284</v>
      </c>
      <c r="C15" s="250" t="s">
        <v>278</v>
      </c>
      <c r="D15" s="372" t="s">
        <v>265</v>
      </c>
      <c r="E15" s="244" t="s">
        <v>49</v>
      </c>
      <c r="F15" s="250">
        <v>31</v>
      </c>
      <c r="G15" s="251">
        <v>0</v>
      </c>
      <c r="H15" s="251">
        <v>0</v>
      </c>
      <c r="I15" s="251">
        <v>0</v>
      </c>
      <c r="J15" s="262">
        <v>0</v>
      </c>
      <c r="K15" s="251">
        <v>0</v>
      </c>
      <c r="L15" s="251">
        <v>0</v>
      </c>
      <c r="M15" s="251">
        <v>0</v>
      </c>
      <c r="N15" s="251">
        <v>0</v>
      </c>
      <c r="O15" s="392" t="s">
        <v>279</v>
      </c>
      <c r="P15" s="246">
        <v>0</v>
      </c>
      <c r="Q15" s="246">
        <v>0</v>
      </c>
      <c r="R15" s="246">
        <v>0</v>
      </c>
      <c r="S15" s="340" t="s">
        <v>280</v>
      </c>
      <c r="T15" s="307"/>
      <c r="U15" s="265">
        <f t="shared" si="10"/>
        <v>1432.25806451613</v>
      </c>
      <c r="V15" s="266">
        <v>0</v>
      </c>
      <c r="W15" s="266">
        <v>0</v>
      </c>
      <c r="X15" s="266">
        <v>0</v>
      </c>
      <c r="Y15" s="266">
        <v>0</v>
      </c>
      <c r="Z15" s="266">
        <v>0</v>
      </c>
      <c r="AA15" s="266">
        <v>0</v>
      </c>
      <c r="AB15" s="347">
        <f t="shared" si="0"/>
        <v>1432.25806451613</v>
      </c>
      <c r="AC15" s="266"/>
      <c r="AD15" s="266"/>
      <c r="AE15" s="266"/>
      <c r="AF15" s="71">
        <v>0</v>
      </c>
      <c r="AG15" s="71">
        <v>0</v>
      </c>
      <c r="AH15" s="71">
        <v>0</v>
      </c>
      <c r="AI15" s="71">
        <f t="shared" si="9"/>
        <v>0</v>
      </c>
      <c r="AJ15" s="71">
        <f t="shared" si="6"/>
        <v>1432.25806451613</v>
      </c>
      <c r="AK15" s="71">
        <f t="shared" ref="AK15:AK65" si="12">I15+H15+J15/2</f>
        <v>0</v>
      </c>
      <c r="AL15" s="71">
        <f t="shared" si="3"/>
        <v>0</v>
      </c>
      <c r="AM15" s="71">
        <f t="shared" si="4"/>
        <v>0</v>
      </c>
      <c r="AN15" s="71"/>
      <c r="AO15" s="71"/>
      <c r="AP15" s="71"/>
      <c r="AQ15" s="71">
        <v>0</v>
      </c>
      <c r="AR15" s="71">
        <f t="shared" si="7"/>
        <v>0</v>
      </c>
      <c r="AS15" s="71">
        <f t="shared" si="8"/>
        <v>1432.25806451613</v>
      </c>
      <c r="AT15" s="71"/>
      <c r="AU15" s="416" t="s">
        <v>279</v>
      </c>
      <c r="AV15" s="417"/>
    </row>
    <row r="16" s="224" customFormat="1" ht="39" customHeight="1" spans="1:48">
      <c r="A16" s="368">
        <f t="shared" si="11"/>
        <v>13</v>
      </c>
      <c r="B16" s="373" t="s">
        <v>285</v>
      </c>
      <c r="C16" s="250" t="s">
        <v>278</v>
      </c>
      <c r="D16" s="372" t="s">
        <v>265</v>
      </c>
      <c r="E16" s="244" t="s">
        <v>49</v>
      </c>
      <c r="F16" s="244">
        <v>31</v>
      </c>
      <c r="G16" s="251">
        <v>0</v>
      </c>
      <c r="H16" s="251">
        <v>0</v>
      </c>
      <c r="I16" s="251">
        <v>0</v>
      </c>
      <c r="J16" s="262">
        <v>0</v>
      </c>
      <c r="K16" s="251">
        <v>0</v>
      </c>
      <c r="L16" s="251">
        <v>0</v>
      </c>
      <c r="M16" s="251">
        <v>0</v>
      </c>
      <c r="N16" s="246">
        <v>0</v>
      </c>
      <c r="O16" s="392" t="s">
        <v>279</v>
      </c>
      <c r="P16" s="246">
        <v>0</v>
      </c>
      <c r="Q16" s="246">
        <v>0</v>
      </c>
      <c r="R16" s="246">
        <v>0</v>
      </c>
      <c r="S16" s="269" t="s">
        <v>280</v>
      </c>
      <c r="T16" s="307"/>
      <c r="U16" s="265">
        <f t="shared" si="10"/>
        <v>1432.25806451613</v>
      </c>
      <c r="V16" s="266">
        <v>0</v>
      </c>
      <c r="W16" s="266">
        <v>0</v>
      </c>
      <c r="X16" s="266">
        <v>0</v>
      </c>
      <c r="Y16" s="266">
        <v>0</v>
      </c>
      <c r="Z16" s="266">
        <v>0</v>
      </c>
      <c r="AA16" s="266">
        <v>0</v>
      </c>
      <c r="AB16" s="347">
        <f t="shared" si="0"/>
        <v>1432.25806451613</v>
      </c>
      <c r="AC16" s="266"/>
      <c r="AD16" s="266"/>
      <c r="AE16" s="266"/>
      <c r="AF16" s="71">
        <v>0</v>
      </c>
      <c r="AG16" s="71">
        <v>0</v>
      </c>
      <c r="AH16" s="71">
        <v>0</v>
      </c>
      <c r="AI16" s="71">
        <f t="shared" si="9"/>
        <v>0</v>
      </c>
      <c r="AJ16" s="71">
        <f t="shared" si="6"/>
        <v>1432.25806451613</v>
      </c>
      <c r="AK16" s="71">
        <f t="shared" si="12"/>
        <v>0</v>
      </c>
      <c r="AL16" s="71">
        <f t="shared" si="3"/>
        <v>0</v>
      </c>
      <c r="AM16" s="71">
        <f t="shared" si="4"/>
        <v>0</v>
      </c>
      <c r="AN16" s="71"/>
      <c r="AO16" s="71"/>
      <c r="AP16" s="71"/>
      <c r="AQ16" s="418">
        <v>0</v>
      </c>
      <c r="AR16" s="71">
        <f t="shared" si="7"/>
        <v>0</v>
      </c>
      <c r="AS16" s="71">
        <f t="shared" si="8"/>
        <v>1432.25806451613</v>
      </c>
      <c r="AT16" s="71"/>
      <c r="AU16" s="416" t="s">
        <v>279</v>
      </c>
      <c r="AV16" s="417"/>
    </row>
    <row r="17" s="224" customFormat="1" ht="40" customHeight="1" spans="1:48">
      <c r="A17" s="368">
        <f t="shared" si="11"/>
        <v>14</v>
      </c>
      <c r="B17" s="373" t="s">
        <v>286</v>
      </c>
      <c r="C17" s="250" t="s">
        <v>278</v>
      </c>
      <c r="D17" s="372" t="s">
        <v>265</v>
      </c>
      <c r="E17" s="244" t="s">
        <v>49</v>
      </c>
      <c r="F17" s="250">
        <v>31</v>
      </c>
      <c r="G17" s="251">
        <v>0</v>
      </c>
      <c r="H17" s="251">
        <v>0</v>
      </c>
      <c r="I17" s="251">
        <v>0</v>
      </c>
      <c r="J17" s="262">
        <v>0</v>
      </c>
      <c r="K17" s="251">
        <v>0</v>
      </c>
      <c r="L17" s="251">
        <v>0</v>
      </c>
      <c r="M17" s="251">
        <v>0</v>
      </c>
      <c r="N17" s="246">
        <v>0</v>
      </c>
      <c r="O17" s="392" t="s">
        <v>279</v>
      </c>
      <c r="P17" s="246">
        <v>0</v>
      </c>
      <c r="Q17" s="246">
        <v>0</v>
      </c>
      <c r="R17" s="246">
        <v>0</v>
      </c>
      <c r="S17" s="269" t="s">
        <v>280</v>
      </c>
      <c r="T17" s="307"/>
      <c r="U17" s="265">
        <f t="shared" si="10"/>
        <v>1432.25806451613</v>
      </c>
      <c r="V17" s="266">
        <v>0</v>
      </c>
      <c r="W17" s="266">
        <v>0</v>
      </c>
      <c r="X17" s="266">
        <v>0</v>
      </c>
      <c r="Y17" s="266">
        <v>0</v>
      </c>
      <c r="Z17" s="266">
        <v>0</v>
      </c>
      <c r="AA17" s="266">
        <v>0</v>
      </c>
      <c r="AB17" s="347">
        <f t="shared" si="0"/>
        <v>1432.25806451613</v>
      </c>
      <c r="AC17" s="266"/>
      <c r="AD17" s="266"/>
      <c r="AE17" s="266"/>
      <c r="AF17" s="71">
        <v>0</v>
      </c>
      <c r="AG17" s="71">
        <v>0</v>
      </c>
      <c r="AH17" s="71">
        <v>0</v>
      </c>
      <c r="AI17" s="71">
        <f t="shared" si="9"/>
        <v>0</v>
      </c>
      <c r="AJ17" s="71">
        <f t="shared" si="6"/>
        <v>1432.25806451613</v>
      </c>
      <c r="AK17" s="71">
        <f t="shared" si="12"/>
        <v>0</v>
      </c>
      <c r="AL17" s="71">
        <f t="shared" si="3"/>
        <v>0</v>
      </c>
      <c r="AM17" s="71">
        <f t="shared" si="4"/>
        <v>0</v>
      </c>
      <c r="AN17" s="71"/>
      <c r="AO17" s="71"/>
      <c r="AP17" s="71"/>
      <c r="AQ17" s="418">
        <v>0</v>
      </c>
      <c r="AR17" s="71">
        <f t="shared" si="7"/>
        <v>0</v>
      </c>
      <c r="AS17" s="71">
        <f t="shared" si="8"/>
        <v>1432.25806451613</v>
      </c>
      <c r="AT17" s="71"/>
      <c r="AU17" s="416" t="s">
        <v>279</v>
      </c>
      <c r="AV17" s="417"/>
    </row>
    <row r="18" s="224" customFormat="1" ht="36" customHeight="1" spans="1:48">
      <c r="A18" s="368">
        <f t="shared" si="11"/>
        <v>15</v>
      </c>
      <c r="B18" s="376" t="s">
        <v>287</v>
      </c>
      <c r="C18" s="250" t="s">
        <v>278</v>
      </c>
      <c r="D18" s="372" t="s">
        <v>288</v>
      </c>
      <c r="E18" s="244" t="s">
        <v>49</v>
      </c>
      <c r="F18" s="244">
        <v>31</v>
      </c>
      <c r="G18" s="251">
        <v>0</v>
      </c>
      <c r="H18" s="251">
        <v>0</v>
      </c>
      <c r="I18" s="251">
        <v>0</v>
      </c>
      <c r="J18" s="262">
        <v>0</v>
      </c>
      <c r="K18" s="251">
        <v>0</v>
      </c>
      <c r="L18" s="251">
        <v>0</v>
      </c>
      <c r="M18" s="251">
        <v>0</v>
      </c>
      <c r="N18" s="246">
        <v>0</v>
      </c>
      <c r="O18" s="392" t="s">
        <v>279</v>
      </c>
      <c r="P18" s="246">
        <v>0</v>
      </c>
      <c r="Q18" s="246">
        <v>0</v>
      </c>
      <c r="R18" s="246">
        <v>0</v>
      </c>
      <c r="S18" s="269" t="s">
        <v>280</v>
      </c>
      <c r="T18" s="307"/>
      <c r="U18" s="265">
        <f t="shared" si="10"/>
        <v>1432.25806451613</v>
      </c>
      <c r="V18" s="266">
        <v>0</v>
      </c>
      <c r="W18" s="266">
        <v>0</v>
      </c>
      <c r="X18" s="266">
        <v>0</v>
      </c>
      <c r="Y18" s="266">
        <v>0</v>
      </c>
      <c r="Z18" s="266">
        <v>0</v>
      </c>
      <c r="AA18" s="266">
        <v>0</v>
      </c>
      <c r="AB18" s="347">
        <f t="shared" si="0"/>
        <v>1432.25806451613</v>
      </c>
      <c r="AC18" s="266"/>
      <c r="AD18" s="266"/>
      <c r="AE18" s="266"/>
      <c r="AF18" s="71">
        <v>0</v>
      </c>
      <c r="AG18" s="71">
        <v>0</v>
      </c>
      <c r="AH18" s="71">
        <v>0</v>
      </c>
      <c r="AI18" s="71">
        <f t="shared" si="9"/>
        <v>0</v>
      </c>
      <c r="AJ18" s="71">
        <f t="shared" si="6"/>
        <v>1432.25806451613</v>
      </c>
      <c r="AK18" s="71">
        <f t="shared" si="12"/>
        <v>0</v>
      </c>
      <c r="AL18" s="71">
        <f t="shared" si="3"/>
        <v>0</v>
      </c>
      <c r="AM18" s="71">
        <f t="shared" si="4"/>
        <v>0</v>
      </c>
      <c r="AN18" s="71"/>
      <c r="AO18" s="71"/>
      <c r="AP18" s="71"/>
      <c r="AQ18" s="418">
        <v>0</v>
      </c>
      <c r="AR18" s="71">
        <f t="shared" si="7"/>
        <v>0</v>
      </c>
      <c r="AS18" s="71">
        <f t="shared" si="8"/>
        <v>1432.25806451613</v>
      </c>
      <c r="AT18" s="71"/>
      <c r="AU18" s="416" t="s">
        <v>279</v>
      </c>
      <c r="AV18" s="417"/>
    </row>
    <row r="19" s="226" customFormat="1" ht="48" customHeight="1" spans="1:48">
      <c r="A19" s="368">
        <f t="shared" si="11"/>
        <v>16</v>
      </c>
      <c r="B19" s="376" t="s">
        <v>289</v>
      </c>
      <c r="C19" s="250" t="s">
        <v>267</v>
      </c>
      <c r="D19" s="372" t="s">
        <v>290</v>
      </c>
      <c r="E19" s="244" t="s">
        <v>49</v>
      </c>
      <c r="F19" s="250">
        <v>31</v>
      </c>
      <c r="G19" s="251">
        <v>0</v>
      </c>
      <c r="H19" s="251">
        <v>0</v>
      </c>
      <c r="I19" s="251">
        <v>0</v>
      </c>
      <c r="J19" s="262">
        <v>0</v>
      </c>
      <c r="K19" s="251">
        <v>0</v>
      </c>
      <c r="L19" s="251">
        <v>0</v>
      </c>
      <c r="M19" s="251">
        <v>0</v>
      </c>
      <c r="N19" s="251">
        <v>0</v>
      </c>
      <c r="O19" s="392" t="s">
        <v>291</v>
      </c>
      <c r="P19" s="251">
        <v>0</v>
      </c>
      <c r="Q19" s="251">
        <v>0</v>
      </c>
      <c r="R19" s="251">
        <v>0</v>
      </c>
      <c r="S19" s="269">
        <v>2400</v>
      </c>
      <c r="T19" s="307">
        <v>200</v>
      </c>
      <c r="U19" s="265">
        <v>1100</v>
      </c>
      <c r="V19" s="265">
        <v>500</v>
      </c>
      <c r="W19" s="265">
        <v>100</v>
      </c>
      <c r="X19" s="265">
        <v>200</v>
      </c>
      <c r="Y19" s="265">
        <v>100</v>
      </c>
      <c r="Z19" s="265">
        <v>200</v>
      </c>
      <c r="AA19" s="265">
        <v>200</v>
      </c>
      <c r="AB19" s="406">
        <f t="shared" si="0"/>
        <v>2400</v>
      </c>
      <c r="AC19" s="265">
        <v>464.51</v>
      </c>
      <c r="AD19" s="265"/>
      <c r="AE19" s="265"/>
      <c r="AF19" s="50">
        <v>0</v>
      </c>
      <c r="AG19" s="50">
        <v>0</v>
      </c>
      <c r="AH19" s="50">
        <v>0</v>
      </c>
      <c r="AI19" s="71">
        <f t="shared" si="9"/>
        <v>200</v>
      </c>
      <c r="AJ19" s="71">
        <f t="shared" si="6"/>
        <v>3064.51</v>
      </c>
      <c r="AK19" s="50">
        <f t="shared" si="12"/>
        <v>0</v>
      </c>
      <c r="AL19" s="50">
        <f t="shared" si="3"/>
        <v>0</v>
      </c>
      <c r="AM19" s="50">
        <f t="shared" si="4"/>
        <v>0</v>
      </c>
      <c r="AN19" s="50"/>
      <c r="AO19" s="50"/>
      <c r="AP19" s="50"/>
      <c r="AQ19" s="419">
        <v>0</v>
      </c>
      <c r="AR19" s="71">
        <f t="shared" si="7"/>
        <v>0</v>
      </c>
      <c r="AS19" s="71">
        <f t="shared" si="8"/>
        <v>3064.51</v>
      </c>
      <c r="AT19" s="50"/>
      <c r="AU19" s="416" t="s">
        <v>292</v>
      </c>
      <c r="AV19" s="420"/>
    </row>
    <row r="20" s="224" customFormat="1" ht="60" customHeight="1" spans="1:48">
      <c r="A20" s="368">
        <f t="shared" si="11"/>
        <v>17</v>
      </c>
      <c r="B20" s="376" t="s">
        <v>293</v>
      </c>
      <c r="C20" s="250" t="s">
        <v>278</v>
      </c>
      <c r="D20" s="372" t="s">
        <v>265</v>
      </c>
      <c r="E20" s="244" t="s">
        <v>49</v>
      </c>
      <c r="F20" s="244">
        <v>31</v>
      </c>
      <c r="G20" s="251">
        <v>0</v>
      </c>
      <c r="H20" s="251">
        <v>0</v>
      </c>
      <c r="I20" s="251">
        <v>0</v>
      </c>
      <c r="J20" s="262">
        <v>0</v>
      </c>
      <c r="K20" s="251">
        <v>0</v>
      </c>
      <c r="L20" s="251">
        <v>0</v>
      </c>
      <c r="M20" s="251">
        <v>0</v>
      </c>
      <c r="N20" s="246">
        <v>0</v>
      </c>
      <c r="O20" s="392" t="s">
        <v>294</v>
      </c>
      <c r="P20" s="246">
        <v>0</v>
      </c>
      <c r="Q20" s="246">
        <v>0</v>
      </c>
      <c r="R20" s="246">
        <v>0</v>
      </c>
      <c r="S20" s="269" t="s">
        <v>280</v>
      </c>
      <c r="T20" s="307">
        <v>100</v>
      </c>
      <c r="U20" s="265">
        <f t="shared" ref="U20:U22" si="13">1500/31*10+1400/31*21</f>
        <v>1432.25806451613</v>
      </c>
      <c r="V20" s="266">
        <v>0</v>
      </c>
      <c r="W20" s="266">
        <v>0</v>
      </c>
      <c r="X20" s="266">
        <v>0</v>
      </c>
      <c r="Y20" s="266">
        <v>0</v>
      </c>
      <c r="Z20" s="266">
        <v>0</v>
      </c>
      <c r="AA20" s="266">
        <v>0</v>
      </c>
      <c r="AB20" s="347">
        <f t="shared" si="0"/>
        <v>1432.25806451613</v>
      </c>
      <c r="AC20" s="266"/>
      <c r="AD20" s="266"/>
      <c r="AE20" s="266"/>
      <c r="AF20" s="71">
        <v>0</v>
      </c>
      <c r="AG20" s="71">
        <v>0</v>
      </c>
      <c r="AH20" s="71">
        <v>0</v>
      </c>
      <c r="AI20" s="71">
        <f t="shared" si="9"/>
        <v>100</v>
      </c>
      <c r="AJ20" s="71">
        <f t="shared" si="6"/>
        <v>1532.25806451613</v>
      </c>
      <c r="AK20" s="71">
        <f t="shared" si="12"/>
        <v>0</v>
      </c>
      <c r="AL20" s="71">
        <f t="shared" si="3"/>
        <v>0</v>
      </c>
      <c r="AM20" s="71">
        <f t="shared" si="4"/>
        <v>0</v>
      </c>
      <c r="AN20" s="71"/>
      <c r="AO20" s="71"/>
      <c r="AP20" s="71"/>
      <c r="AQ20" s="71">
        <v>0</v>
      </c>
      <c r="AR20" s="71">
        <f t="shared" si="7"/>
        <v>0</v>
      </c>
      <c r="AS20" s="71">
        <f t="shared" si="8"/>
        <v>1532.25806451613</v>
      </c>
      <c r="AT20" s="71"/>
      <c r="AU20" s="416" t="s">
        <v>294</v>
      </c>
      <c r="AV20" s="417"/>
    </row>
    <row r="21" s="224" customFormat="1" ht="41" customHeight="1" spans="1:48">
      <c r="A21" s="368">
        <f t="shared" si="11"/>
        <v>18</v>
      </c>
      <c r="B21" s="376" t="s">
        <v>295</v>
      </c>
      <c r="C21" s="250" t="s">
        <v>278</v>
      </c>
      <c r="D21" s="372" t="s">
        <v>265</v>
      </c>
      <c r="E21" s="244" t="s">
        <v>49</v>
      </c>
      <c r="F21" s="250">
        <v>31</v>
      </c>
      <c r="G21" s="251">
        <v>0</v>
      </c>
      <c r="H21" s="251">
        <v>0</v>
      </c>
      <c r="I21" s="251">
        <v>0</v>
      </c>
      <c r="J21" s="262">
        <v>0</v>
      </c>
      <c r="K21" s="251">
        <v>0</v>
      </c>
      <c r="L21" s="251">
        <v>0</v>
      </c>
      <c r="M21" s="251">
        <v>0</v>
      </c>
      <c r="N21" s="246">
        <v>0</v>
      </c>
      <c r="O21" s="392" t="s">
        <v>279</v>
      </c>
      <c r="P21" s="246">
        <v>0</v>
      </c>
      <c r="Q21" s="246">
        <v>0</v>
      </c>
      <c r="R21" s="246">
        <v>0</v>
      </c>
      <c r="S21" s="269" t="s">
        <v>280</v>
      </c>
      <c r="T21" s="307"/>
      <c r="U21" s="265">
        <f t="shared" si="13"/>
        <v>1432.25806451613</v>
      </c>
      <c r="V21" s="266">
        <v>0</v>
      </c>
      <c r="W21" s="266">
        <v>0</v>
      </c>
      <c r="X21" s="266">
        <v>0</v>
      </c>
      <c r="Y21" s="266">
        <v>0</v>
      </c>
      <c r="Z21" s="266">
        <v>0</v>
      </c>
      <c r="AA21" s="266">
        <v>0</v>
      </c>
      <c r="AB21" s="347">
        <f t="shared" si="0"/>
        <v>1432.25806451613</v>
      </c>
      <c r="AC21" s="266"/>
      <c r="AD21" s="266"/>
      <c r="AE21" s="266"/>
      <c r="AF21" s="71">
        <v>0</v>
      </c>
      <c r="AG21" s="71">
        <v>0</v>
      </c>
      <c r="AH21" s="71">
        <v>0</v>
      </c>
      <c r="AI21" s="71">
        <f t="shared" si="9"/>
        <v>0</v>
      </c>
      <c r="AJ21" s="71">
        <f t="shared" si="6"/>
        <v>1432.25806451613</v>
      </c>
      <c r="AK21" s="71">
        <f t="shared" si="12"/>
        <v>0</v>
      </c>
      <c r="AL21" s="71">
        <f t="shared" si="3"/>
        <v>0</v>
      </c>
      <c r="AM21" s="71">
        <f t="shared" si="4"/>
        <v>0</v>
      </c>
      <c r="AN21" s="71"/>
      <c r="AO21" s="71"/>
      <c r="AP21" s="71"/>
      <c r="AQ21" s="418">
        <v>0</v>
      </c>
      <c r="AR21" s="71">
        <f t="shared" si="7"/>
        <v>0</v>
      </c>
      <c r="AS21" s="71">
        <f t="shared" si="8"/>
        <v>1432.25806451613</v>
      </c>
      <c r="AT21" s="71"/>
      <c r="AU21" s="416" t="s">
        <v>279</v>
      </c>
      <c r="AV21" s="417"/>
    </row>
    <row r="22" s="224" customFormat="1" ht="51" customHeight="1" spans="1:48">
      <c r="A22" s="368">
        <f t="shared" si="11"/>
        <v>19</v>
      </c>
      <c r="B22" s="376" t="s">
        <v>296</v>
      </c>
      <c r="C22" s="250" t="s">
        <v>278</v>
      </c>
      <c r="D22" s="372" t="s">
        <v>265</v>
      </c>
      <c r="E22" s="244" t="s">
        <v>49</v>
      </c>
      <c r="F22" s="244">
        <v>31</v>
      </c>
      <c r="G22" s="251">
        <v>0</v>
      </c>
      <c r="H22" s="251">
        <v>0</v>
      </c>
      <c r="I22" s="251">
        <v>0</v>
      </c>
      <c r="J22" s="262">
        <v>0</v>
      </c>
      <c r="K22" s="251">
        <v>0</v>
      </c>
      <c r="L22" s="251">
        <v>0</v>
      </c>
      <c r="M22" s="251">
        <v>0</v>
      </c>
      <c r="N22" s="246">
        <v>0</v>
      </c>
      <c r="O22" s="392" t="s">
        <v>279</v>
      </c>
      <c r="P22" s="246">
        <v>0</v>
      </c>
      <c r="Q22" s="246">
        <v>0</v>
      </c>
      <c r="R22" s="246">
        <v>0</v>
      </c>
      <c r="S22" s="269" t="s">
        <v>280</v>
      </c>
      <c r="T22" s="307"/>
      <c r="U22" s="265">
        <f t="shared" si="13"/>
        <v>1432.25806451613</v>
      </c>
      <c r="V22" s="266">
        <v>0</v>
      </c>
      <c r="W22" s="266">
        <v>0</v>
      </c>
      <c r="X22" s="266">
        <v>0</v>
      </c>
      <c r="Y22" s="266">
        <v>0</v>
      </c>
      <c r="Z22" s="266">
        <v>0</v>
      </c>
      <c r="AA22" s="266">
        <v>0</v>
      </c>
      <c r="AB22" s="347">
        <f t="shared" si="0"/>
        <v>1432.25806451613</v>
      </c>
      <c r="AC22" s="266"/>
      <c r="AD22" s="266"/>
      <c r="AE22" s="266"/>
      <c r="AF22" s="71">
        <v>0</v>
      </c>
      <c r="AG22" s="71">
        <v>0</v>
      </c>
      <c r="AH22" s="71">
        <v>0</v>
      </c>
      <c r="AI22" s="71">
        <f t="shared" si="9"/>
        <v>0</v>
      </c>
      <c r="AJ22" s="71">
        <f t="shared" si="6"/>
        <v>1432.25806451613</v>
      </c>
      <c r="AK22" s="71">
        <f t="shared" si="12"/>
        <v>0</v>
      </c>
      <c r="AL22" s="71">
        <f t="shared" si="3"/>
        <v>0</v>
      </c>
      <c r="AM22" s="71">
        <f t="shared" si="4"/>
        <v>0</v>
      </c>
      <c r="AN22" s="71"/>
      <c r="AO22" s="71"/>
      <c r="AP22" s="71"/>
      <c r="AQ22" s="71">
        <v>0</v>
      </c>
      <c r="AR22" s="71">
        <f t="shared" si="7"/>
        <v>0</v>
      </c>
      <c r="AS22" s="71">
        <f t="shared" si="8"/>
        <v>1432.25806451613</v>
      </c>
      <c r="AT22" s="71"/>
      <c r="AU22" s="416" t="s">
        <v>279</v>
      </c>
      <c r="AV22" s="417"/>
    </row>
    <row r="23" s="224" customFormat="1" ht="37" customHeight="1" spans="1:48">
      <c r="A23" s="368">
        <f t="shared" si="11"/>
        <v>20</v>
      </c>
      <c r="B23" s="376" t="s">
        <v>297</v>
      </c>
      <c r="C23" s="250" t="s">
        <v>267</v>
      </c>
      <c r="D23" s="372" t="s">
        <v>265</v>
      </c>
      <c r="E23" s="244" t="s">
        <v>49</v>
      </c>
      <c r="F23" s="250">
        <v>31</v>
      </c>
      <c r="G23" s="251">
        <v>0</v>
      </c>
      <c r="H23" s="251">
        <v>0</v>
      </c>
      <c r="I23" s="251">
        <v>0</v>
      </c>
      <c r="J23" s="262">
        <v>0</v>
      </c>
      <c r="K23" s="251">
        <v>0</v>
      </c>
      <c r="L23" s="251">
        <v>0</v>
      </c>
      <c r="M23" s="251">
        <v>0</v>
      </c>
      <c r="N23" s="246">
        <v>0</v>
      </c>
      <c r="O23" s="392" t="s">
        <v>298</v>
      </c>
      <c r="P23" s="246">
        <v>0</v>
      </c>
      <c r="Q23" s="246">
        <v>0</v>
      </c>
      <c r="R23" s="246">
        <v>0</v>
      </c>
      <c r="S23" s="269">
        <v>2600</v>
      </c>
      <c r="T23" s="307"/>
      <c r="U23" s="265">
        <v>1000</v>
      </c>
      <c r="V23" s="266">
        <v>1100</v>
      </c>
      <c r="W23" s="266">
        <v>100</v>
      </c>
      <c r="X23" s="266">
        <v>100</v>
      </c>
      <c r="Y23" s="266">
        <v>100</v>
      </c>
      <c r="Z23" s="266">
        <v>100</v>
      </c>
      <c r="AA23" s="266">
        <v>100</v>
      </c>
      <c r="AB23" s="347">
        <f t="shared" si="0"/>
        <v>2600</v>
      </c>
      <c r="AC23" s="266">
        <v>503.22</v>
      </c>
      <c r="AD23" s="266"/>
      <c r="AE23" s="266"/>
      <c r="AF23" s="71">
        <v>0</v>
      </c>
      <c r="AG23" s="71">
        <v>0</v>
      </c>
      <c r="AH23" s="71">
        <v>0</v>
      </c>
      <c r="AI23" s="71">
        <f t="shared" si="9"/>
        <v>0</v>
      </c>
      <c r="AJ23" s="71">
        <f t="shared" si="6"/>
        <v>3103.22</v>
      </c>
      <c r="AK23" s="71">
        <f t="shared" si="12"/>
        <v>0</v>
      </c>
      <c r="AL23" s="71">
        <f t="shared" si="3"/>
        <v>0</v>
      </c>
      <c r="AM23" s="71">
        <f t="shared" si="4"/>
        <v>0</v>
      </c>
      <c r="AN23" s="71"/>
      <c r="AO23" s="71"/>
      <c r="AP23" s="71"/>
      <c r="AQ23" s="418">
        <v>0</v>
      </c>
      <c r="AR23" s="71">
        <f t="shared" si="7"/>
        <v>0</v>
      </c>
      <c r="AS23" s="71">
        <f t="shared" si="8"/>
        <v>3103.22</v>
      </c>
      <c r="AT23" s="71"/>
      <c r="AU23" s="416" t="s">
        <v>299</v>
      </c>
      <c r="AV23" s="417"/>
    </row>
    <row r="24" s="224" customFormat="1" ht="45" customHeight="1" spans="1:48">
      <c r="A24" s="368">
        <f t="shared" si="11"/>
        <v>21</v>
      </c>
      <c r="B24" s="376" t="s">
        <v>300</v>
      </c>
      <c r="C24" s="250" t="s">
        <v>267</v>
      </c>
      <c r="D24" s="372" t="s">
        <v>301</v>
      </c>
      <c r="E24" s="244" t="s">
        <v>49</v>
      </c>
      <c r="F24" s="244">
        <v>31</v>
      </c>
      <c r="G24" s="251">
        <v>0</v>
      </c>
      <c r="H24" s="251">
        <v>0</v>
      </c>
      <c r="I24" s="251">
        <v>0</v>
      </c>
      <c r="J24" s="262">
        <v>0</v>
      </c>
      <c r="K24" s="251">
        <v>0</v>
      </c>
      <c r="L24" s="251">
        <v>0</v>
      </c>
      <c r="M24" s="251">
        <v>0</v>
      </c>
      <c r="N24" s="246">
        <v>0</v>
      </c>
      <c r="O24" s="393" t="s">
        <v>302</v>
      </c>
      <c r="P24" s="246">
        <v>0</v>
      </c>
      <c r="Q24" s="246">
        <v>0</v>
      </c>
      <c r="R24" s="246">
        <v>0</v>
      </c>
      <c r="S24" s="269">
        <v>2200</v>
      </c>
      <c r="T24" s="307"/>
      <c r="U24" s="265">
        <v>900</v>
      </c>
      <c r="V24" s="266">
        <v>900</v>
      </c>
      <c r="W24" s="266">
        <v>100</v>
      </c>
      <c r="X24" s="266">
        <v>50</v>
      </c>
      <c r="Y24" s="266">
        <v>50</v>
      </c>
      <c r="Z24" s="266">
        <v>100</v>
      </c>
      <c r="AA24" s="266">
        <v>100</v>
      </c>
      <c r="AB24" s="347">
        <f t="shared" si="0"/>
        <v>2200</v>
      </c>
      <c r="AC24" s="266">
        <v>890.32</v>
      </c>
      <c r="AD24" s="266"/>
      <c r="AE24" s="266"/>
      <c r="AF24" s="71">
        <v>0</v>
      </c>
      <c r="AG24" s="71">
        <v>0</v>
      </c>
      <c r="AH24" s="71">
        <v>0</v>
      </c>
      <c r="AI24" s="71">
        <f t="shared" si="9"/>
        <v>0</v>
      </c>
      <c r="AJ24" s="71">
        <f t="shared" si="6"/>
        <v>3090.32</v>
      </c>
      <c r="AK24" s="71">
        <f t="shared" si="12"/>
        <v>0</v>
      </c>
      <c r="AL24" s="71">
        <f t="shared" si="3"/>
        <v>0</v>
      </c>
      <c r="AM24" s="71">
        <f t="shared" si="4"/>
        <v>0</v>
      </c>
      <c r="AN24" s="71"/>
      <c r="AO24" s="71"/>
      <c r="AP24" s="71"/>
      <c r="AQ24" s="71">
        <v>0</v>
      </c>
      <c r="AR24" s="71">
        <f t="shared" si="7"/>
        <v>0</v>
      </c>
      <c r="AS24" s="71">
        <f t="shared" si="8"/>
        <v>3090.32</v>
      </c>
      <c r="AT24" s="71"/>
      <c r="AU24" s="416" t="s">
        <v>302</v>
      </c>
      <c r="AV24" s="417"/>
    </row>
    <row r="25" s="224" customFormat="1" ht="52" customHeight="1" spans="1:48">
      <c r="A25" s="368">
        <f t="shared" ref="A25:A34" si="14">ROW()-3</f>
        <v>22</v>
      </c>
      <c r="B25" s="376" t="s">
        <v>303</v>
      </c>
      <c r="C25" s="250" t="s">
        <v>278</v>
      </c>
      <c r="D25" s="372" t="s">
        <v>265</v>
      </c>
      <c r="E25" s="244" t="s">
        <v>49</v>
      </c>
      <c r="F25" s="250">
        <v>31</v>
      </c>
      <c r="G25" s="251">
        <v>0</v>
      </c>
      <c r="H25" s="251">
        <v>0</v>
      </c>
      <c r="I25" s="251">
        <v>0</v>
      </c>
      <c r="J25" s="262">
        <v>0</v>
      </c>
      <c r="K25" s="251">
        <v>0</v>
      </c>
      <c r="L25" s="251">
        <v>0</v>
      </c>
      <c r="M25" s="251">
        <v>0</v>
      </c>
      <c r="N25" s="246">
        <v>0</v>
      </c>
      <c r="O25" s="392" t="s">
        <v>279</v>
      </c>
      <c r="P25" s="246">
        <v>0</v>
      </c>
      <c r="Q25" s="246">
        <v>0</v>
      </c>
      <c r="R25" s="246">
        <v>0</v>
      </c>
      <c r="S25" s="340" t="s">
        <v>280</v>
      </c>
      <c r="T25" s="307"/>
      <c r="U25" s="265">
        <f t="shared" ref="U25:U27" si="15">1500/31*10+1400/31*21</f>
        <v>1432.25806451613</v>
      </c>
      <c r="V25" s="266">
        <v>0</v>
      </c>
      <c r="W25" s="266">
        <v>0</v>
      </c>
      <c r="X25" s="266">
        <v>0</v>
      </c>
      <c r="Y25" s="266">
        <v>0</v>
      </c>
      <c r="Z25" s="266">
        <v>0</v>
      </c>
      <c r="AA25" s="266">
        <v>0</v>
      </c>
      <c r="AB25" s="347">
        <f t="shared" si="0"/>
        <v>1432.25806451613</v>
      </c>
      <c r="AC25" s="266"/>
      <c r="AD25" s="266"/>
      <c r="AE25" s="266"/>
      <c r="AF25" s="71">
        <v>0</v>
      </c>
      <c r="AG25" s="71">
        <v>0</v>
      </c>
      <c r="AH25" s="71">
        <v>0</v>
      </c>
      <c r="AI25" s="71">
        <f t="shared" si="9"/>
        <v>0</v>
      </c>
      <c r="AJ25" s="71">
        <f t="shared" si="6"/>
        <v>1432.25806451613</v>
      </c>
      <c r="AK25" s="71">
        <f t="shared" si="12"/>
        <v>0</v>
      </c>
      <c r="AL25" s="71">
        <f t="shared" si="3"/>
        <v>0</v>
      </c>
      <c r="AM25" s="71">
        <f t="shared" si="4"/>
        <v>0</v>
      </c>
      <c r="AN25" s="71"/>
      <c r="AO25" s="71"/>
      <c r="AP25" s="71"/>
      <c r="AQ25" s="418">
        <v>0</v>
      </c>
      <c r="AR25" s="71">
        <f t="shared" si="7"/>
        <v>0</v>
      </c>
      <c r="AS25" s="71">
        <f t="shared" si="8"/>
        <v>1432.25806451613</v>
      </c>
      <c r="AT25" s="71"/>
      <c r="AU25" s="416" t="s">
        <v>279</v>
      </c>
      <c r="AV25" s="417"/>
    </row>
    <row r="26" s="224" customFormat="1" ht="43" customHeight="1" spans="1:48">
      <c r="A26" s="368">
        <f t="shared" si="14"/>
        <v>23</v>
      </c>
      <c r="B26" s="376" t="s">
        <v>304</v>
      </c>
      <c r="C26" s="250" t="s">
        <v>278</v>
      </c>
      <c r="D26" s="372" t="s">
        <v>265</v>
      </c>
      <c r="E26" s="244" t="s">
        <v>49</v>
      </c>
      <c r="F26" s="244">
        <v>31</v>
      </c>
      <c r="G26" s="251">
        <v>0</v>
      </c>
      <c r="H26" s="251">
        <v>0</v>
      </c>
      <c r="I26" s="251">
        <v>0</v>
      </c>
      <c r="J26" s="262">
        <v>0</v>
      </c>
      <c r="K26" s="251">
        <v>0</v>
      </c>
      <c r="L26" s="251">
        <v>0</v>
      </c>
      <c r="M26" s="251">
        <v>0</v>
      </c>
      <c r="N26" s="246">
        <v>0</v>
      </c>
      <c r="O26" s="392" t="s">
        <v>279</v>
      </c>
      <c r="P26" s="246">
        <v>0</v>
      </c>
      <c r="Q26" s="246">
        <v>0</v>
      </c>
      <c r="R26" s="246">
        <v>0</v>
      </c>
      <c r="S26" s="340" t="s">
        <v>280</v>
      </c>
      <c r="T26" s="307"/>
      <c r="U26" s="265">
        <f t="shared" si="15"/>
        <v>1432.25806451613</v>
      </c>
      <c r="V26" s="266">
        <v>0</v>
      </c>
      <c r="W26" s="266">
        <v>0</v>
      </c>
      <c r="X26" s="266">
        <v>0</v>
      </c>
      <c r="Y26" s="266">
        <v>0</v>
      </c>
      <c r="Z26" s="266">
        <v>0</v>
      </c>
      <c r="AA26" s="266">
        <v>0</v>
      </c>
      <c r="AB26" s="347">
        <f t="shared" si="0"/>
        <v>1432.25806451613</v>
      </c>
      <c r="AC26" s="266"/>
      <c r="AD26" s="266"/>
      <c r="AE26" s="266"/>
      <c r="AF26" s="71">
        <v>0</v>
      </c>
      <c r="AG26" s="71">
        <v>0</v>
      </c>
      <c r="AH26" s="71">
        <v>0</v>
      </c>
      <c r="AI26" s="71">
        <f t="shared" si="9"/>
        <v>0</v>
      </c>
      <c r="AJ26" s="71">
        <f t="shared" si="6"/>
        <v>1432.25806451613</v>
      </c>
      <c r="AK26" s="71">
        <f t="shared" si="12"/>
        <v>0</v>
      </c>
      <c r="AL26" s="71">
        <f t="shared" si="3"/>
        <v>0</v>
      </c>
      <c r="AM26" s="71">
        <f t="shared" si="4"/>
        <v>0</v>
      </c>
      <c r="AN26" s="71"/>
      <c r="AO26" s="71"/>
      <c r="AP26" s="71"/>
      <c r="AQ26" s="71">
        <v>0</v>
      </c>
      <c r="AR26" s="71">
        <f t="shared" si="7"/>
        <v>0</v>
      </c>
      <c r="AS26" s="71">
        <f t="shared" si="8"/>
        <v>1432.25806451613</v>
      </c>
      <c r="AT26" s="71"/>
      <c r="AU26" s="416" t="s">
        <v>279</v>
      </c>
      <c r="AV26" s="417"/>
    </row>
    <row r="27" s="224" customFormat="1" ht="49" customHeight="1" spans="1:48">
      <c r="A27" s="368">
        <f t="shared" si="14"/>
        <v>24</v>
      </c>
      <c r="B27" s="376" t="s">
        <v>305</v>
      </c>
      <c r="C27" s="250" t="s">
        <v>278</v>
      </c>
      <c r="D27" s="372" t="s">
        <v>265</v>
      </c>
      <c r="E27" s="244" t="s">
        <v>49</v>
      </c>
      <c r="F27" s="250">
        <v>31</v>
      </c>
      <c r="G27" s="251">
        <v>0</v>
      </c>
      <c r="H27" s="251">
        <v>0</v>
      </c>
      <c r="I27" s="251">
        <v>0</v>
      </c>
      <c r="J27" s="262">
        <v>0</v>
      </c>
      <c r="K27" s="251">
        <v>0</v>
      </c>
      <c r="L27" s="251">
        <v>0</v>
      </c>
      <c r="M27" s="251">
        <v>0</v>
      </c>
      <c r="N27" s="246">
        <v>0</v>
      </c>
      <c r="O27" s="392" t="s">
        <v>279</v>
      </c>
      <c r="P27" s="246">
        <v>0</v>
      </c>
      <c r="Q27" s="246">
        <v>0</v>
      </c>
      <c r="R27" s="246">
        <v>0</v>
      </c>
      <c r="S27" s="340" t="s">
        <v>280</v>
      </c>
      <c r="T27" s="307"/>
      <c r="U27" s="265">
        <f t="shared" si="15"/>
        <v>1432.25806451613</v>
      </c>
      <c r="V27" s="266">
        <v>0</v>
      </c>
      <c r="W27" s="266">
        <v>0</v>
      </c>
      <c r="X27" s="266">
        <v>0</v>
      </c>
      <c r="Y27" s="266">
        <v>0</v>
      </c>
      <c r="Z27" s="266">
        <v>0</v>
      </c>
      <c r="AA27" s="266">
        <v>0</v>
      </c>
      <c r="AB27" s="347">
        <f t="shared" si="0"/>
        <v>1432.25806451613</v>
      </c>
      <c r="AC27" s="266"/>
      <c r="AD27" s="266"/>
      <c r="AE27" s="266"/>
      <c r="AF27" s="71">
        <v>0</v>
      </c>
      <c r="AG27" s="71">
        <v>0</v>
      </c>
      <c r="AH27" s="71">
        <v>0</v>
      </c>
      <c r="AI27" s="71">
        <f t="shared" si="9"/>
        <v>0</v>
      </c>
      <c r="AJ27" s="71">
        <f t="shared" si="6"/>
        <v>1432.25806451613</v>
      </c>
      <c r="AK27" s="71">
        <f t="shared" si="12"/>
        <v>0</v>
      </c>
      <c r="AL27" s="71">
        <f t="shared" si="3"/>
        <v>0</v>
      </c>
      <c r="AM27" s="71">
        <f t="shared" si="4"/>
        <v>0</v>
      </c>
      <c r="AN27" s="71"/>
      <c r="AO27" s="71"/>
      <c r="AP27" s="71"/>
      <c r="AQ27" s="418">
        <v>0</v>
      </c>
      <c r="AR27" s="71">
        <f t="shared" si="7"/>
        <v>0</v>
      </c>
      <c r="AS27" s="71">
        <f t="shared" si="8"/>
        <v>1432.25806451613</v>
      </c>
      <c r="AT27" s="71"/>
      <c r="AU27" s="416" t="s">
        <v>279</v>
      </c>
      <c r="AV27" s="417"/>
    </row>
    <row r="28" s="224" customFormat="1" ht="30" customHeight="1" spans="1:48">
      <c r="A28" s="368">
        <f t="shared" si="14"/>
        <v>25</v>
      </c>
      <c r="B28" s="376" t="s">
        <v>306</v>
      </c>
      <c r="C28" s="250" t="s">
        <v>267</v>
      </c>
      <c r="D28" s="372" t="s">
        <v>265</v>
      </c>
      <c r="E28" s="244" t="s">
        <v>49</v>
      </c>
      <c r="F28" s="244">
        <v>31</v>
      </c>
      <c r="G28" s="251">
        <v>0</v>
      </c>
      <c r="H28" s="251">
        <v>0</v>
      </c>
      <c r="I28" s="251">
        <v>0</v>
      </c>
      <c r="J28" s="262">
        <v>0</v>
      </c>
      <c r="K28" s="251">
        <v>0</v>
      </c>
      <c r="L28" s="251">
        <v>0</v>
      </c>
      <c r="M28" s="251">
        <v>0</v>
      </c>
      <c r="N28" s="246">
        <v>0</v>
      </c>
      <c r="O28" s="392" t="s">
        <v>307</v>
      </c>
      <c r="P28" s="246">
        <v>0</v>
      </c>
      <c r="Q28" s="246">
        <v>0</v>
      </c>
      <c r="R28" s="246">
        <v>0</v>
      </c>
      <c r="S28" s="269">
        <v>2600</v>
      </c>
      <c r="T28" s="307">
        <v>200</v>
      </c>
      <c r="U28" s="265">
        <v>1000</v>
      </c>
      <c r="V28" s="266">
        <v>900</v>
      </c>
      <c r="W28" s="266">
        <v>200</v>
      </c>
      <c r="X28" s="266">
        <v>200</v>
      </c>
      <c r="Y28" s="266">
        <v>100</v>
      </c>
      <c r="Z28" s="266">
        <v>100</v>
      </c>
      <c r="AA28" s="266">
        <v>100</v>
      </c>
      <c r="AB28" s="347">
        <f t="shared" si="0"/>
        <v>2600</v>
      </c>
      <c r="AC28" s="266"/>
      <c r="AD28" s="266"/>
      <c r="AE28" s="266"/>
      <c r="AF28" s="71">
        <v>0</v>
      </c>
      <c r="AG28" s="71">
        <v>0</v>
      </c>
      <c r="AH28" s="71">
        <v>0</v>
      </c>
      <c r="AI28" s="71">
        <f t="shared" si="9"/>
        <v>200</v>
      </c>
      <c r="AJ28" s="71">
        <f t="shared" si="6"/>
        <v>2800</v>
      </c>
      <c r="AK28" s="71">
        <f t="shared" si="12"/>
        <v>0</v>
      </c>
      <c r="AL28" s="71">
        <f t="shared" si="3"/>
        <v>0</v>
      </c>
      <c r="AM28" s="71">
        <f t="shared" si="4"/>
        <v>0</v>
      </c>
      <c r="AN28" s="71"/>
      <c r="AO28" s="71"/>
      <c r="AP28" s="71"/>
      <c r="AQ28" s="71">
        <v>0</v>
      </c>
      <c r="AR28" s="71">
        <f t="shared" si="7"/>
        <v>0</v>
      </c>
      <c r="AS28" s="71">
        <f t="shared" si="8"/>
        <v>2800</v>
      </c>
      <c r="AT28" s="71"/>
      <c r="AU28" s="416" t="s">
        <v>307</v>
      </c>
      <c r="AV28" s="417"/>
    </row>
    <row r="29" s="224" customFormat="1" ht="50" customHeight="1" spans="1:48">
      <c r="A29" s="368">
        <f t="shared" si="14"/>
        <v>26</v>
      </c>
      <c r="B29" s="376" t="s">
        <v>308</v>
      </c>
      <c r="C29" s="250" t="s">
        <v>278</v>
      </c>
      <c r="D29" s="372" t="s">
        <v>265</v>
      </c>
      <c r="E29" s="244" t="s">
        <v>49</v>
      </c>
      <c r="F29" s="250">
        <v>31</v>
      </c>
      <c r="G29" s="251">
        <v>0</v>
      </c>
      <c r="H29" s="251">
        <v>0</v>
      </c>
      <c r="I29" s="251">
        <v>0</v>
      </c>
      <c r="J29" s="262">
        <v>0</v>
      </c>
      <c r="K29" s="251">
        <v>0</v>
      </c>
      <c r="L29" s="251">
        <v>0</v>
      </c>
      <c r="M29" s="251">
        <v>0</v>
      </c>
      <c r="N29" s="246">
        <v>0</v>
      </c>
      <c r="O29" s="392" t="s">
        <v>279</v>
      </c>
      <c r="P29" s="246">
        <v>0</v>
      </c>
      <c r="Q29" s="246">
        <v>0</v>
      </c>
      <c r="R29" s="246">
        <v>0</v>
      </c>
      <c r="S29" s="340" t="s">
        <v>280</v>
      </c>
      <c r="T29" s="307"/>
      <c r="U29" s="265">
        <f t="shared" ref="U29:U33" si="16">1500/31*10+1400/31*21</f>
        <v>1432.25806451613</v>
      </c>
      <c r="V29" s="266">
        <v>0</v>
      </c>
      <c r="W29" s="266">
        <v>0</v>
      </c>
      <c r="X29" s="266">
        <v>0</v>
      </c>
      <c r="Y29" s="266">
        <v>0</v>
      </c>
      <c r="Z29" s="266">
        <v>0</v>
      </c>
      <c r="AA29" s="266">
        <v>0</v>
      </c>
      <c r="AB29" s="347">
        <f t="shared" si="0"/>
        <v>1432.25806451613</v>
      </c>
      <c r="AC29" s="266"/>
      <c r="AD29" s="266"/>
      <c r="AE29" s="266"/>
      <c r="AF29" s="71">
        <v>0</v>
      </c>
      <c r="AG29" s="71">
        <v>0</v>
      </c>
      <c r="AH29" s="71">
        <v>0</v>
      </c>
      <c r="AI29" s="71">
        <f t="shared" si="9"/>
        <v>0</v>
      </c>
      <c r="AJ29" s="71">
        <f t="shared" si="6"/>
        <v>1432.25806451613</v>
      </c>
      <c r="AK29" s="71">
        <f t="shared" si="12"/>
        <v>0</v>
      </c>
      <c r="AL29" s="71">
        <f t="shared" si="3"/>
        <v>0</v>
      </c>
      <c r="AM29" s="71">
        <f t="shared" si="4"/>
        <v>0</v>
      </c>
      <c r="AN29" s="71"/>
      <c r="AO29" s="71"/>
      <c r="AP29" s="71"/>
      <c r="AQ29" s="418">
        <v>0</v>
      </c>
      <c r="AR29" s="71">
        <f t="shared" si="7"/>
        <v>0</v>
      </c>
      <c r="AS29" s="71">
        <f t="shared" si="8"/>
        <v>1432.25806451613</v>
      </c>
      <c r="AT29" s="71"/>
      <c r="AU29" s="416" t="s">
        <v>279</v>
      </c>
      <c r="AV29" s="417"/>
    </row>
    <row r="30" s="224" customFormat="1" ht="43" customHeight="1" spans="1:48">
      <c r="A30" s="368">
        <f t="shared" si="14"/>
        <v>27</v>
      </c>
      <c r="B30" s="376" t="s">
        <v>309</v>
      </c>
      <c r="C30" s="250" t="s">
        <v>278</v>
      </c>
      <c r="D30" s="372" t="s">
        <v>265</v>
      </c>
      <c r="E30" s="244" t="s">
        <v>49</v>
      </c>
      <c r="F30" s="244">
        <v>31</v>
      </c>
      <c r="G30" s="251">
        <v>0</v>
      </c>
      <c r="H30" s="251">
        <v>0</v>
      </c>
      <c r="I30" s="251">
        <v>0</v>
      </c>
      <c r="J30" s="262">
        <v>0</v>
      </c>
      <c r="K30" s="251">
        <v>0</v>
      </c>
      <c r="L30" s="251">
        <v>0</v>
      </c>
      <c r="M30" s="251">
        <v>0</v>
      </c>
      <c r="N30" s="246">
        <v>0</v>
      </c>
      <c r="O30" s="392" t="s">
        <v>279</v>
      </c>
      <c r="P30" s="246">
        <v>0</v>
      </c>
      <c r="Q30" s="246">
        <v>0</v>
      </c>
      <c r="R30" s="246">
        <v>0</v>
      </c>
      <c r="S30" s="340" t="s">
        <v>280</v>
      </c>
      <c r="T30" s="307"/>
      <c r="U30" s="265">
        <f t="shared" si="16"/>
        <v>1432.25806451613</v>
      </c>
      <c r="V30" s="266">
        <v>0</v>
      </c>
      <c r="W30" s="266">
        <v>0</v>
      </c>
      <c r="X30" s="266">
        <v>0</v>
      </c>
      <c r="Y30" s="266">
        <v>0</v>
      </c>
      <c r="Z30" s="266">
        <v>0</v>
      </c>
      <c r="AA30" s="266">
        <v>0</v>
      </c>
      <c r="AB30" s="347">
        <f t="shared" si="0"/>
        <v>1432.25806451613</v>
      </c>
      <c r="AC30" s="266"/>
      <c r="AD30" s="266"/>
      <c r="AE30" s="266"/>
      <c r="AF30" s="71">
        <v>0</v>
      </c>
      <c r="AG30" s="71">
        <v>0</v>
      </c>
      <c r="AH30" s="71">
        <v>0</v>
      </c>
      <c r="AI30" s="71">
        <f t="shared" si="9"/>
        <v>0</v>
      </c>
      <c r="AJ30" s="71">
        <f t="shared" si="6"/>
        <v>1432.25806451613</v>
      </c>
      <c r="AK30" s="71">
        <f t="shared" si="12"/>
        <v>0</v>
      </c>
      <c r="AL30" s="71">
        <f t="shared" si="3"/>
        <v>0</v>
      </c>
      <c r="AM30" s="71">
        <f t="shared" si="4"/>
        <v>0</v>
      </c>
      <c r="AN30" s="71"/>
      <c r="AO30" s="71"/>
      <c r="AP30" s="71"/>
      <c r="AQ30" s="71">
        <v>0</v>
      </c>
      <c r="AR30" s="71">
        <f t="shared" si="7"/>
        <v>0</v>
      </c>
      <c r="AS30" s="71">
        <f t="shared" si="8"/>
        <v>1432.25806451613</v>
      </c>
      <c r="AT30" s="71"/>
      <c r="AU30" s="416" t="s">
        <v>279</v>
      </c>
      <c r="AV30" s="417"/>
    </row>
    <row r="31" s="224" customFormat="1" ht="57" customHeight="1" spans="1:48">
      <c r="A31" s="368">
        <f t="shared" si="14"/>
        <v>28</v>
      </c>
      <c r="B31" s="376" t="s">
        <v>310</v>
      </c>
      <c r="C31" s="250" t="s">
        <v>278</v>
      </c>
      <c r="D31" s="372" t="s">
        <v>265</v>
      </c>
      <c r="E31" s="244" t="s">
        <v>49</v>
      </c>
      <c r="F31" s="250">
        <v>31</v>
      </c>
      <c r="G31" s="251">
        <v>0</v>
      </c>
      <c r="H31" s="251">
        <v>0</v>
      </c>
      <c r="I31" s="251">
        <v>0</v>
      </c>
      <c r="J31" s="262">
        <v>0</v>
      </c>
      <c r="K31" s="251">
        <v>0</v>
      </c>
      <c r="L31" s="251">
        <v>0</v>
      </c>
      <c r="M31" s="251">
        <v>0</v>
      </c>
      <c r="N31" s="246">
        <v>0</v>
      </c>
      <c r="O31" s="392" t="s">
        <v>279</v>
      </c>
      <c r="P31" s="246">
        <v>0</v>
      </c>
      <c r="Q31" s="246">
        <v>0</v>
      </c>
      <c r="R31" s="246">
        <v>0</v>
      </c>
      <c r="S31" s="340" t="s">
        <v>280</v>
      </c>
      <c r="T31" s="307"/>
      <c r="U31" s="265">
        <f t="shared" si="16"/>
        <v>1432.25806451613</v>
      </c>
      <c r="V31" s="266">
        <v>0</v>
      </c>
      <c r="W31" s="266">
        <v>0</v>
      </c>
      <c r="X31" s="266">
        <v>0</v>
      </c>
      <c r="Y31" s="266">
        <v>0</v>
      </c>
      <c r="Z31" s="266">
        <v>0</v>
      </c>
      <c r="AA31" s="266">
        <v>0</v>
      </c>
      <c r="AB31" s="347">
        <f t="shared" si="0"/>
        <v>1432.25806451613</v>
      </c>
      <c r="AC31" s="266"/>
      <c r="AD31" s="266"/>
      <c r="AE31" s="266"/>
      <c r="AF31" s="71">
        <v>0</v>
      </c>
      <c r="AG31" s="71">
        <v>0</v>
      </c>
      <c r="AH31" s="71">
        <v>0</v>
      </c>
      <c r="AI31" s="71">
        <f t="shared" si="9"/>
        <v>0</v>
      </c>
      <c r="AJ31" s="71">
        <f t="shared" si="6"/>
        <v>1432.25806451613</v>
      </c>
      <c r="AK31" s="71">
        <f t="shared" si="12"/>
        <v>0</v>
      </c>
      <c r="AL31" s="71">
        <f t="shared" si="3"/>
        <v>0</v>
      </c>
      <c r="AM31" s="71">
        <f t="shared" si="4"/>
        <v>0</v>
      </c>
      <c r="AN31" s="71"/>
      <c r="AO31" s="71"/>
      <c r="AP31" s="71"/>
      <c r="AQ31" s="71">
        <v>0</v>
      </c>
      <c r="AR31" s="71">
        <f t="shared" si="7"/>
        <v>0</v>
      </c>
      <c r="AS31" s="71">
        <f t="shared" si="8"/>
        <v>1432.25806451613</v>
      </c>
      <c r="AT31" s="71"/>
      <c r="AU31" s="416" t="s">
        <v>279</v>
      </c>
      <c r="AV31" s="417"/>
    </row>
    <row r="32" s="224" customFormat="1" ht="45" customHeight="1" spans="1:48">
      <c r="A32" s="368">
        <f t="shared" si="14"/>
        <v>29</v>
      </c>
      <c r="B32" s="376" t="s">
        <v>311</v>
      </c>
      <c r="C32" s="250" t="s">
        <v>278</v>
      </c>
      <c r="D32" s="372" t="s">
        <v>265</v>
      </c>
      <c r="E32" s="244" t="s">
        <v>49</v>
      </c>
      <c r="F32" s="244">
        <v>31</v>
      </c>
      <c r="G32" s="251">
        <v>0</v>
      </c>
      <c r="H32" s="251">
        <v>0</v>
      </c>
      <c r="I32" s="251">
        <v>0</v>
      </c>
      <c r="J32" s="262">
        <v>0</v>
      </c>
      <c r="K32" s="251">
        <v>0</v>
      </c>
      <c r="L32" s="251">
        <v>0</v>
      </c>
      <c r="M32" s="251">
        <v>0</v>
      </c>
      <c r="N32" s="246">
        <v>0</v>
      </c>
      <c r="O32" s="392" t="s">
        <v>279</v>
      </c>
      <c r="P32" s="246">
        <v>0</v>
      </c>
      <c r="Q32" s="246">
        <v>0</v>
      </c>
      <c r="R32" s="246">
        <v>0</v>
      </c>
      <c r="S32" s="340" t="s">
        <v>280</v>
      </c>
      <c r="T32" s="307"/>
      <c r="U32" s="265">
        <f t="shared" si="16"/>
        <v>1432.25806451613</v>
      </c>
      <c r="V32" s="266">
        <v>0</v>
      </c>
      <c r="W32" s="266">
        <v>0</v>
      </c>
      <c r="X32" s="266">
        <v>0</v>
      </c>
      <c r="Y32" s="266">
        <v>0</v>
      </c>
      <c r="Z32" s="266">
        <v>0</v>
      </c>
      <c r="AA32" s="266">
        <v>0</v>
      </c>
      <c r="AB32" s="347">
        <f t="shared" si="0"/>
        <v>1432.25806451613</v>
      </c>
      <c r="AC32" s="266"/>
      <c r="AD32" s="266"/>
      <c r="AE32" s="266"/>
      <c r="AF32" s="71">
        <v>0</v>
      </c>
      <c r="AG32" s="71">
        <v>0</v>
      </c>
      <c r="AH32" s="71">
        <v>0</v>
      </c>
      <c r="AI32" s="71">
        <f t="shared" si="9"/>
        <v>0</v>
      </c>
      <c r="AJ32" s="71">
        <f t="shared" si="6"/>
        <v>1432.25806451613</v>
      </c>
      <c r="AK32" s="71">
        <f t="shared" si="12"/>
        <v>0</v>
      </c>
      <c r="AL32" s="71">
        <f t="shared" si="3"/>
        <v>0</v>
      </c>
      <c r="AM32" s="71">
        <f t="shared" si="4"/>
        <v>0</v>
      </c>
      <c r="AN32" s="71"/>
      <c r="AO32" s="71"/>
      <c r="AP32" s="71"/>
      <c r="AQ32" s="418">
        <v>0</v>
      </c>
      <c r="AR32" s="71">
        <f t="shared" si="7"/>
        <v>0</v>
      </c>
      <c r="AS32" s="71">
        <f t="shared" si="8"/>
        <v>1432.25806451613</v>
      </c>
      <c r="AT32" s="71"/>
      <c r="AU32" s="416" t="s">
        <v>279</v>
      </c>
      <c r="AV32" s="417"/>
    </row>
    <row r="33" s="224" customFormat="1" ht="51" customHeight="1" spans="1:48">
      <c r="A33" s="368">
        <f t="shared" si="14"/>
        <v>30</v>
      </c>
      <c r="B33" s="376" t="s">
        <v>312</v>
      </c>
      <c r="C33" s="250" t="s">
        <v>278</v>
      </c>
      <c r="D33" s="372" t="s">
        <v>265</v>
      </c>
      <c r="E33" s="244" t="s">
        <v>49</v>
      </c>
      <c r="F33" s="250">
        <v>31</v>
      </c>
      <c r="G33" s="251">
        <v>0</v>
      </c>
      <c r="H33" s="251">
        <v>0</v>
      </c>
      <c r="I33" s="251">
        <v>0</v>
      </c>
      <c r="J33" s="262">
        <v>0</v>
      </c>
      <c r="K33" s="251">
        <v>0</v>
      </c>
      <c r="L33" s="251">
        <v>0</v>
      </c>
      <c r="M33" s="251">
        <v>0</v>
      </c>
      <c r="N33" s="246">
        <v>0</v>
      </c>
      <c r="O33" s="392" t="s">
        <v>279</v>
      </c>
      <c r="P33" s="246">
        <v>0</v>
      </c>
      <c r="Q33" s="246">
        <v>0</v>
      </c>
      <c r="R33" s="246">
        <v>0</v>
      </c>
      <c r="S33" s="340" t="s">
        <v>280</v>
      </c>
      <c r="T33" s="307"/>
      <c r="U33" s="265">
        <f t="shared" si="16"/>
        <v>1432.25806451613</v>
      </c>
      <c r="V33" s="266">
        <v>0</v>
      </c>
      <c r="W33" s="266">
        <v>0</v>
      </c>
      <c r="X33" s="266">
        <v>0</v>
      </c>
      <c r="Y33" s="266">
        <v>0</v>
      </c>
      <c r="Z33" s="266">
        <v>0</v>
      </c>
      <c r="AA33" s="266">
        <v>0</v>
      </c>
      <c r="AB33" s="347">
        <f t="shared" si="0"/>
        <v>1432.25806451613</v>
      </c>
      <c r="AC33" s="266"/>
      <c r="AD33" s="266"/>
      <c r="AE33" s="266"/>
      <c r="AF33" s="71">
        <v>0</v>
      </c>
      <c r="AG33" s="71">
        <v>0</v>
      </c>
      <c r="AH33" s="71">
        <v>0</v>
      </c>
      <c r="AI33" s="71">
        <f t="shared" si="9"/>
        <v>0</v>
      </c>
      <c r="AJ33" s="71">
        <f t="shared" si="6"/>
        <v>1432.25806451613</v>
      </c>
      <c r="AK33" s="71">
        <f t="shared" si="12"/>
        <v>0</v>
      </c>
      <c r="AL33" s="71">
        <f t="shared" si="3"/>
        <v>0</v>
      </c>
      <c r="AM33" s="71">
        <f t="shared" si="4"/>
        <v>0</v>
      </c>
      <c r="AN33" s="71"/>
      <c r="AO33" s="71"/>
      <c r="AP33" s="71"/>
      <c r="AQ33" s="71">
        <v>0</v>
      </c>
      <c r="AR33" s="71">
        <f t="shared" si="7"/>
        <v>0</v>
      </c>
      <c r="AS33" s="71">
        <f t="shared" si="8"/>
        <v>1432.25806451613</v>
      </c>
      <c r="AT33" s="71"/>
      <c r="AU33" s="416" t="s">
        <v>279</v>
      </c>
      <c r="AV33" s="417"/>
    </row>
    <row r="34" s="224" customFormat="1" ht="36" customHeight="1" spans="1:48">
      <c r="A34" s="368">
        <f t="shared" si="14"/>
        <v>31</v>
      </c>
      <c r="B34" s="376" t="s">
        <v>313</v>
      </c>
      <c r="C34" s="250" t="s">
        <v>267</v>
      </c>
      <c r="D34" s="372" t="s">
        <v>265</v>
      </c>
      <c r="E34" s="244" t="s">
        <v>49</v>
      </c>
      <c r="F34" s="244">
        <v>31</v>
      </c>
      <c r="G34" s="251">
        <v>0</v>
      </c>
      <c r="H34" s="251">
        <v>0</v>
      </c>
      <c r="I34" s="251">
        <v>0</v>
      </c>
      <c r="J34" s="262">
        <v>0</v>
      </c>
      <c r="K34" s="251">
        <v>0</v>
      </c>
      <c r="L34" s="251">
        <v>0</v>
      </c>
      <c r="M34" s="251">
        <v>0</v>
      </c>
      <c r="N34" s="246">
        <v>0</v>
      </c>
      <c r="O34" s="392" t="s">
        <v>254</v>
      </c>
      <c r="P34" s="246">
        <v>0</v>
      </c>
      <c r="Q34" s="246">
        <v>0</v>
      </c>
      <c r="R34" s="246">
        <v>0</v>
      </c>
      <c r="S34" s="340">
        <v>2600</v>
      </c>
      <c r="T34" s="307"/>
      <c r="U34" s="265">
        <v>1000</v>
      </c>
      <c r="V34" s="266">
        <v>700</v>
      </c>
      <c r="W34" s="266">
        <v>500</v>
      </c>
      <c r="X34" s="266">
        <v>100</v>
      </c>
      <c r="Y34" s="266">
        <v>100</v>
      </c>
      <c r="Z34" s="266">
        <v>100</v>
      </c>
      <c r="AA34" s="266">
        <v>100</v>
      </c>
      <c r="AB34" s="347">
        <f t="shared" si="0"/>
        <v>2600</v>
      </c>
      <c r="AC34" s="266"/>
      <c r="AD34" s="266"/>
      <c r="AE34" s="266"/>
      <c r="AF34" s="71">
        <v>0</v>
      </c>
      <c r="AG34" s="71">
        <v>0</v>
      </c>
      <c r="AH34" s="71">
        <v>0</v>
      </c>
      <c r="AI34" s="71">
        <f t="shared" si="9"/>
        <v>0</v>
      </c>
      <c r="AJ34" s="71">
        <f t="shared" si="6"/>
        <v>2600</v>
      </c>
      <c r="AK34" s="71">
        <f t="shared" si="12"/>
        <v>0</v>
      </c>
      <c r="AL34" s="71">
        <f t="shared" si="3"/>
        <v>0</v>
      </c>
      <c r="AM34" s="71">
        <f t="shared" si="4"/>
        <v>0</v>
      </c>
      <c r="AN34" s="71"/>
      <c r="AO34" s="71"/>
      <c r="AP34" s="71"/>
      <c r="AQ34" s="418"/>
      <c r="AR34" s="71">
        <f t="shared" si="7"/>
        <v>0</v>
      </c>
      <c r="AS34" s="71">
        <f t="shared" si="8"/>
        <v>2600</v>
      </c>
      <c r="AT34" s="71"/>
      <c r="AU34" s="416" t="s">
        <v>254</v>
      </c>
      <c r="AV34" s="417"/>
    </row>
    <row r="35" s="224" customFormat="1" ht="36" customHeight="1" spans="1:48">
      <c r="A35" s="368">
        <f t="shared" ref="A35:A44" si="17">ROW()-3</f>
        <v>32</v>
      </c>
      <c r="B35" s="376" t="s">
        <v>314</v>
      </c>
      <c r="C35" s="250" t="s">
        <v>278</v>
      </c>
      <c r="D35" s="372" t="s">
        <v>265</v>
      </c>
      <c r="E35" s="244" t="s">
        <v>49</v>
      </c>
      <c r="F35" s="244">
        <v>31</v>
      </c>
      <c r="G35" s="251">
        <v>0</v>
      </c>
      <c r="H35" s="251">
        <v>0</v>
      </c>
      <c r="I35" s="251">
        <v>0</v>
      </c>
      <c r="J35" s="262">
        <v>0</v>
      </c>
      <c r="K35" s="251">
        <v>0</v>
      </c>
      <c r="L35" s="251">
        <v>0</v>
      </c>
      <c r="M35" s="251">
        <v>0</v>
      </c>
      <c r="N35" s="246">
        <v>0</v>
      </c>
      <c r="O35" s="392" t="s">
        <v>279</v>
      </c>
      <c r="P35" s="246">
        <v>0</v>
      </c>
      <c r="Q35" s="246">
        <v>0</v>
      </c>
      <c r="R35" s="246">
        <v>0</v>
      </c>
      <c r="S35" s="340" t="s">
        <v>280</v>
      </c>
      <c r="T35" s="307"/>
      <c r="U35" s="265">
        <f t="shared" ref="U35:U40" si="18">1500/31*10+1400/31*21</f>
        <v>1432.25806451613</v>
      </c>
      <c r="V35" s="266">
        <v>0</v>
      </c>
      <c r="W35" s="266">
        <v>0</v>
      </c>
      <c r="X35" s="266">
        <v>0</v>
      </c>
      <c r="Y35" s="266">
        <v>0</v>
      </c>
      <c r="Z35" s="266">
        <v>0</v>
      </c>
      <c r="AA35" s="266">
        <v>0</v>
      </c>
      <c r="AB35" s="347">
        <f t="shared" si="0"/>
        <v>1432.25806451613</v>
      </c>
      <c r="AC35" s="266"/>
      <c r="AD35" s="266"/>
      <c r="AE35" s="266"/>
      <c r="AF35" s="71">
        <v>0</v>
      </c>
      <c r="AG35" s="71">
        <v>0</v>
      </c>
      <c r="AH35" s="71">
        <v>0</v>
      </c>
      <c r="AI35" s="71">
        <f t="shared" si="9"/>
        <v>0</v>
      </c>
      <c r="AJ35" s="71">
        <f t="shared" si="6"/>
        <v>1432.25806451613</v>
      </c>
      <c r="AK35" s="71">
        <f t="shared" si="12"/>
        <v>0</v>
      </c>
      <c r="AL35" s="71">
        <f t="shared" si="3"/>
        <v>0</v>
      </c>
      <c r="AM35" s="71">
        <f t="shared" si="4"/>
        <v>0</v>
      </c>
      <c r="AN35" s="71"/>
      <c r="AO35" s="71"/>
      <c r="AP35" s="71"/>
      <c r="AQ35" s="71">
        <v>0</v>
      </c>
      <c r="AR35" s="71">
        <f t="shared" si="7"/>
        <v>0</v>
      </c>
      <c r="AS35" s="71">
        <f t="shared" si="8"/>
        <v>1432.25806451613</v>
      </c>
      <c r="AT35" s="71"/>
      <c r="AU35" s="416" t="s">
        <v>279</v>
      </c>
      <c r="AV35" s="417"/>
    </row>
    <row r="36" s="224" customFormat="1" ht="42" customHeight="1" spans="1:48">
      <c r="A36" s="368">
        <f t="shared" si="17"/>
        <v>33</v>
      </c>
      <c r="B36" s="376" t="s">
        <v>315</v>
      </c>
      <c r="C36" s="250" t="s">
        <v>278</v>
      </c>
      <c r="D36" s="372" t="s">
        <v>265</v>
      </c>
      <c r="E36" s="244" t="s">
        <v>49</v>
      </c>
      <c r="F36" s="250">
        <v>31</v>
      </c>
      <c r="G36" s="251">
        <v>0</v>
      </c>
      <c r="H36" s="251">
        <v>0</v>
      </c>
      <c r="I36" s="251">
        <v>0</v>
      </c>
      <c r="J36" s="262">
        <v>0</v>
      </c>
      <c r="K36" s="251">
        <v>0</v>
      </c>
      <c r="L36" s="251">
        <v>0</v>
      </c>
      <c r="M36" s="251">
        <v>0</v>
      </c>
      <c r="N36" s="246">
        <v>0</v>
      </c>
      <c r="O36" s="392" t="s">
        <v>279</v>
      </c>
      <c r="P36" s="246">
        <v>0</v>
      </c>
      <c r="Q36" s="246">
        <v>0</v>
      </c>
      <c r="R36" s="246">
        <v>0</v>
      </c>
      <c r="S36" s="340" t="s">
        <v>280</v>
      </c>
      <c r="T36" s="307"/>
      <c r="U36" s="265">
        <f t="shared" si="18"/>
        <v>1432.25806451613</v>
      </c>
      <c r="V36" s="266">
        <v>0</v>
      </c>
      <c r="W36" s="266">
        <v>0</v>
      </c>
      <c r="X36" s="266">
        <v>0</v>
      </c>
      <c r="Y36" s="266">
        <v>0</v>
      </c>
      <c r="Z36" s="266">
        <v>0</v>
      </c>
      <c r="AA36" s="266">
        <v>0</v>
      </c>
      <c r="AB36" s="347">
        <f t="shared" si="0"/>
        <v>1432.25806451613</v>
      </c>
      <c r="AC36" s="266"/>
      <c r="AD36" s="266"/>
      <c r="AE36" s="266"/>
      <c r="AF36" s="71">
        <v>0</v>
      </c>
      <c r="AG36" s="71">
        <v>0</v>
      </c>
      <c r="AH36" s="71">
        <v>0</v>
      </c>
      <c r="AI36" s="71">
        <f t="shared" si="9"/>
        <v>0</v>
      </c>
      <c r="AJ36" s="71">
        <f t="shared" si="6"/>
        <v>1432.25806451613</v>
      </c>
      <c r="AK36" s="71">
        <f t="shared" si="12"/>
        <v>0</v>
      </c>
      <c r="AL36" s="71">
        <f t="shared" si="3"/>
        <v>0</v>
      </c>
      <c r="AM36" s="71">
        <f t="shared" si="4"/>
        <v>0</v>
      </c>
      <c r="AN36" s="71"/>
      <c r="AO36" s="71"/>
      <c r="AP36" s="71"/>
      <c r="AQ36" s="71">
        <v>0</v>
      </c>
      <c r="AR36" s="71">
        <f t="shared" si="7"/>
        <v>0</v>
      </c>
      <c r="AS36" s="71">
        <f t="shared" si="8"/>
        <v>1432.25806451613</v>
      </c>
      <c r="AT36" s="71"/>
      <c r="AU36" s="416" t="s">
        <v>279</v>
      </c>
      <c r="AV36" s="417"/>
    </row>
    <row r="37" s="224" customFormat="1" ht="25" customHeight="1" spans="1:48">
      <c r="A37" s="368">
        <f t="shared" si="17"/>
        <v>34</v>
      </c>
      <c r="B37" s="376" t="s">
        <v>316</v>
      </c>
      <c r="C37" s="250" t="s">
        <v>267</v>
      </c>
      <c r="D37" s="372" t="s">
        <v>265</v>
      </c>
      <c r="E37" s="244" t="s">
        <v>49</v>
      </c>
      <c r="F37" s="244">
        <v>31</v>
      </c>
      <c r="G37" s="251">
        <v>0</v>
      </c>
      <c r="H37" s="251">
        <v>0</v>
      </c>
      <c r="I37" s="251">
        <v>0</v>
      </c>
      <c r="J37" s="262">
        <v>0</v>
      </c>
      <c r="K37" s="251">
        <v>0</v>
      </c>
      <c r="L37" s="251">
        <v>0</v>
      </c>
      <c r="M37" s="251">
        <v>0</v>
      </c>
      <c r="N37" s="246">
        <v>0</v>
      </c>
      <c r="O37" s="392"/>
      <c r="P37" s="246">
        <v>0</v>
      </c>
      <c r="Q37" s="246">
        <v>0</v>
      </c>
      <c r="R37" s="246">
        <v>0</v>
      </c>
      <c r="S37" s="340">
        <v>2600</v>
      </c>
      <c r="T37" s="307"/>
      <c r="U37" s="265">
        <v>1000</v>
      </c>
      <c r="V37" s="266">
        <v>1000</v>
      </c>
      <c r="W37" s="266">
        <v>200</v>
      </c>
      <c r="X37" s="266">
        <v>100</v>
      </c>
      <c r="Y37" s="266">
        <v>100</v>
      </c>
      <c r="Z37" s="266">
        <v>100</v>
      </c>
      <c r="AA37" s="266">
        <v>100</v>
      </c>
      <c r="AB37" s="347">
        <f t="shared" si="0"/>
        <v>2600</v>
      </c>
      <c r="AC37" s="266"/>
      <c r="AD37" s="266"/>
      <c r="AE37" s="266"/>
      <c r="AF37" s="71">
        <v>0</v>
      </c>
      <c r="AG37" s="71">
        <v>0</v>
      </c>
      <c r="AH37" s="71">
        <v>0</v>
      </c>
      <c r="AI37" s="71">
        <f t="shared" si="9"/>
        <v>0</v>
      </c>
      <c r="AJ37" s="71">
        <f t="shared" ref="AJ37:AJ65" si="19">SUM(AB37:AI37)</f>
        <v>2600</v>
      </c>
      <c r="AK37" s="71">
        <f t="shared" si="12"/>
        <v>0</v>
      </c>
      <c r="AL37" s="71">
        <f t="shared" si="3"/>
        <v>0</v>
      </c>
      <c r="AM37" s="71">
        <f t="shared" si="4"/>
        <v>0</v>
      </c>
      <c r="AN37" s="71"/>
      <c r="AO37" s="71"/>
      <c r="AP37" s="71"/>
      <c r="AQ37" s="418">
        <v>0</v>
      </c>
      <c r="AR37" s="71">
        <f t="shared" ref="AR37:AR65" si="20">SUM(AL37:AQ37)</f>
        <v>0</v>
      </c>
      <c r="AS37" s="71">
        <f t="shared" ref="AS37:AS65" si="21">AJ37-AR37</f>
        <v>2600</v>
      </c>
      <c r="AT37" s="71"/>
      <c r="AU37" s="416">
        <v>0</v>
      </c>
      <c r="AV37" s="417"/>
    </row>
    <row r="38" s="224" customFormat="1" ht="41" customHeight="1" spans="1:48">
      <c r="A38" s="368">
        <f t="shared" si="17"/>
        <v>35</v>
      </c>
      <c r="B38" s="376" t="s">
        <v>317</v>
      </c>
      <c r="C38" s="250" t="s">
        <v>278</v>
      </c>
      <c r="D38" s="372" t="s">
        <v>265</v>
      </c>
      <c r="E38" s="244" t="s">
        <v>49</v>
      </c>
      <c r="F38" s="250">
        <v>31</v>
      </c>
      <c r="G38" s="251">
        <v>0</v>
      </c>
      <c r="H38" s="251"/>
      <c r="I38" s="251">
        <v>0</v>
      </c>
      <c r="J38" s="262">
        <v>0</v>
      </c>
      <c r="K38" s="251">
        <v>0</v>
      </c>
      <c r="L38" s="251">
        <v>0</v>
      </c>
      <c r="M38" s="251">
        <v>0</v>
      </c>
      <c r="N38" s="246">
        <v>0</v>
      </c>
      <c r="O38" s="392" t="s">
        <v>279</v>
      </c>
      <c r="P38" s="246">
        <v>0</v>
      </c>
      <c r="Q38" s="246">
        <v>0</v>
      </c>
      <c r="R38" s="246">
        <v>0</v>
      </c>
      <c r="S38" s="340" t="s">
        <v>280</v>
      </c>
      <c r="T38" s="307"/>
      <c r="U38" s="265">
        <f t="shared" si="18"/>
        <v>1432.25806451613</v>
      </c>
      <c r="V38" s="266">
        <v>0</v>
      </c>
      <c r="W38" s="266">
        <v>0</v>
      </c>
      <c r="X38" s="266">
        <v>0</v>
      </c>
      <c r="Y38" s="266">
        <v>0</v>
      </c>
      <c r="Z38" s="266">
        <v>0</v>
      </c>
      <c r="AA38" s="266">
        <v>0</v>
      </c>
      <c r="AB38" s="347">
        <f t="shared" si="0"/>
        <v>1432.25806451613</v>
      </c>
      <c r="AC38" s="266"/>
      <c r="AD38" s="266"/>
      <c r="AE38" s="266"/>
      <c r="AF38" s="71">
        <v>0</v>
      </c>
      <c r="AG38" s="71">
        <v>0</v>
      </c>
      <c r="AH38" s="71">
        <v>0</v>
      </c>
      <c r="AI38" s="71">
        <f t="shared" si="9"/>
        <v>0</v>
      </c>
      <c r="AJ38" s="71">
        <f t="shared" si="19"/>
        <v>1432.25806451613</v>
      </c>
      <c r="AK38" s="71">
        <f t="shared" si="12"/>
        <v>0</v>
      </c>
      <c r="AL38" s="71">
        <f t="shared" si="3"/>
        <v>0</v>
      </c>
      <c r="AM38" s="71">
        <f t="shared" si="4"/>
        <v>0</v>
      </c>
      <c r="AN38" s="71"/>
      <c r="AO38" s="71"/>
      <c r="AP38" s="71"/>
      <c r="AQ38" s="71">
        <v>0</v>
      </c>
      <c r="AR38" s="71">
        <f t="shared" si="20"/>
        <v>0</v>
      </c>
      <c r="AS38" s="71">
        <f t="shared" si="21"/>
        <v>1432.25806451613</v>
      </c>
      <c r="AT38" s="71"/>
      <c r="AU38" s="416" t="s">
        <v>279</v>
      </c>
      <c r="AV38" s="417"/>
    </row>
    <row r="39" s="224" customFormat="1" ht="46" customHeight="1" spans="1:48">
      <c r="A39" s="368">
        <f t="shared" si="17"/>
        <v>36</v>
      </c>
      <c r="B39" s="377" t="s">
        <v>318</v>
      </c>
      <c r="C39" s="250" t="s">
        <v>278</v>
      </c>
      <c r="D39" s="372" t="s">
        <v>265</v>
      </c>
      <c r="E39" s="244" t="s">
        <v>49</v>
      </c>
      <c r="F39" s="244">
        <v>31</v>
      </c>
      <c r="G39" s="251">
        <v>0</v>
      </c>
      <c r="H39" s="251">
        <v>0</v>
      </c>
      <c r="I39" s="251">
        <v>0</v>
      </c>
      <c r="J39" s="262">
        <v>0</v>
      </c>
      <c r="K39" s="251">
        <v>0</v>
      </c>
      <c r="L39" s="251">
        <v>0</v>
      </c>
      <c r="M39" s="251">
        <v>0</v>
      </c>
      <c r="N39" s="246">
        <v>0</v>
      </c>
      <c r="O39" s="392" t="s">
        <v>279</v>
      </c>
      <c r="P39" s="246">
        <v>0</v>
      </c>
      <c r="Q39" s="246">
        <v>0</v>
      </c>
      <c r="R39" s="246">
        <v>0</v>
      </c>
      <c r="S39" s="340" t="s">
        <v>280</v>
      </c>
      <c r="T39" s="307"/>
      <c r="U39" s="265">
        <f t="shared" si="18"/>
        <v>1432.25806451613</v>
      </c>
      <c r="V39" s="266">
        <v>0</v>
      </c>
      <c r="W39" s="266">
        <v>0</v>
      </c>
      <c r="X39" s="266">
        <v>0</v>
      </c>
      <c r="Y39" s="266">
        <v>0</v>
      </c>
      <c r="Z39" s="266">
        <v>0</v>
      </c>
      <c r="AA39" s="266">
        <v>0</v>
      </c>
      <c r="AB39" s="347">
        <f t="shared" si="0"/>
        <v>1432.25806451613</v>
      </c>
      <c r="AC39" s="266"/>
      <c r="AD39" s="266"/>
      <c r="AE39" s="266"/>
      <c r="AF39" s="71">
        <v>0</v>
      </c>
      <c r="AG39" s="71">
        <v>0</v>
      </c>
      <c r="AH39" s="71">
        <v>0</v>
      </c>
      <c r="AI39" s="71">
        <f t="shared" si="9"/>
        <v>0</v>
      </c>
      <c r="AJ39" s="71">
        <f t="shared" si="19"/>
        <v>1432.25806451613</v>
      </c>
      <c r="AK39" s="71">
        <f t="shared" si="12"/>
        <v>0</v>
      </c>
      <c r="AL39" s="71">
        <f t="shared" si="3"/>
        <v>0</v>
      </c>
      <c r="AM39" s="71">
        <f t="shared" si="4"/>
        <v>0</v>
      </c>
      <c r="AN39" s="71"/>
      <c r="AO39" s="71"/>
      <c r="AP39" s="71"/>
      <c r="AQ39" s="418">
        <v>0</v>
      </c>
      <c r="AR39" s="71">
        <f t="shared" si="20"/>
        <v>0</v>
      </c>
      <c r="AS39" s="71">
        <f t="shared" si="21"/>
        <v>1432.25806451613</v>
      </c>
      <c r="AT39" s="71"/>
      <c r="AU39" s="416" t="s">
        <v>279</v>
      </c>
      <c r="AV39" s="417"/>
    </row>
    <row r="40" s="224" customFormat="1" ht="42" customHeight="1" spans="1:48">
      <c r="A40" s="368">
        <f t="shared" si="17"/>
        <v>37</v>
      </c>
      <c r="B40" s="377" t="s">
        <v>319</v>
      </c>
      <c r="C40" s="250" t="s">
        <v>278</v>
      </c>
      <c r="D40" s="372" t="s">
        <v>265</v>
      </c>
      <c r="E40" s="244" t="s">
        <v>49</v>
      </c>
      <c r="F40" s="250">
        <v>31</v>
      </c>
      <c r="G40" s="251">
        <v>0</v>
      </c>
      <c r="H40" s="251">
        <v>0</v>
      </c>
      <c r="I40" s="251">
        <v>0</v>
      </c>
      <c r="J40" s="262">
        <v>0</v>
      </c>
      <c r="K40" s="251">
        <v>0</v>
      </c>
      <c r="L40" s="251">
        <v>0</v>
      </c>
      <c r="M40" s="251">
        <v>0</v>
      </c>
      <c r="N40" s="246">
        <v>0</v>
      </c>
      <c r="O40" s="392" t="s">
        <v>279</v>
      </c>
      <c r="P40" s="246">
        <v>0</v>
      </c>
      <c r="Q40" s="246">
        <v>0</v>
      </c>
      <c r="R40" s="246">
        <v>0</v>
      </c>
      <c r="S40" s="340" t="s">
        <v>280</v>
      </c>
      <c r="T40" s="307"/>
      <c r="U40" s="265">
        <f t="shared" si="18"/>
        <v>1432.25806451613</v>
      </c>
      <c r="V40" s="266">
        <v>0</v>
      </c>
      <c r="W40" s="266">
        <v>0</v>
      </c>
      <c r="X40" s="266">
        <v>0</v>
      </c>
      <c r="Y40" s="266">
        <v>0</v>
      </c>
      <c r="Z40" s="266">
        <v>0</v>
      </c>
      <c r="AA40" s="266">
        <v>0</v>
      </c>
      <c r="AB40" s="347">
        <f t="shared" si="0"/>
        <v>1432.25806451613</v>
      </c>
      <c r="AC40" s="266"/>
      <c r="AD40" s="266"/>
      <c r="AE40" s="266"/>
      <c r="AF40" s="71">
        <v>0</v>
      </c>
      <c r="AG40" s="71">
        <v>0</v>
      </c>
      <c r="AH40" s="71">
        <v>0</v>
      </c>
      <c r="AI40" s="71">
        <f t="shared" si="9"/>
        <v>0</v>
      </c>
      <c r="AJ40" s="71">
        <f t="shared" si="19"/>
        <v>1432.25806451613</v>
      </c>
      <c r="AK40" s="71">
        <f t="shared" si="12"/>
        <v>0</v>
      </c>
      <c r="AL40" s="71">
        <f t="shared" si="3"/>
        <v>0</v>
      </c>
      <c r="AM40" s="71">
        <f t="shared" si="4"/>
        <v>0</v>
      </c>
      <c r="AN40" s="71"/>
      <c r="AO40" s="71"/>
      <c r="AP40" s="71"/>
      <c r="AQ40" s="71">
        <v>0</v>
      </c>
      <c r="AR40" s="71">
        <f t="shared" si="20"/>
        <v>0</v>
      </c>
      <c r="AS40" s="71">
        <f t="shared" si="21"/>
        <v>1432.25806451613</v>
      </c>
      <c r="AT40" s="71"/>
      <c r="AU40" s="416" t="s">
        <v>279</v>
      </c>
      <c r="AV40" s="417"/>
    </row>
    <row r="41" s="224" customFormat="1" ht="25" customHeight="1" spans="1:48">
      <c r="A41" s="368">
        <f t="shared" si="17"/>
        <v>38</v>
      </c>
      <c r="B41" s="377" t="s">
        <v>320</v>
      </c>
      <c r="C41" s="250" t="s">
        <v>267</v>
      </c>
      <c r="D41" s="372" t="s">
        <v>265</v>
      </c>
      <c r="E41" s="244" t="s">
        <v>49</v>
      </c>
      <c r="F41" s="244">
        <v>31</v>
      </c>
      <c r="G41" s="251">
        <v>0</v>
      </c>
      <c r="H41" s="251">
        <v>0</v>
      </c>
      <c r="I41" s="251">
        <v>0</v>
      </c>
      <c r="J41" s="262">
        <v>0</v>
      </c>
      <c r="K41" s="251">
        <v>0</v>
      </c>
      <c r="L41" s="251">
        <v>0</v>
      </c>
      <c r="M41" s="251">
        <v>0</v>
      </c>
      <c r="N41" s="246">
        <v>0</v>
      </c>
      <c r="O41" s="392" t="s">
        <v>275</v>
      </c>
      <c r="P41" s="246">
        <v>0</v>
      </c>
      <c r="Q41" s="246">
        <v>0</v>
      </c>
      <c r="R41" s="246">
        <v>0</v>
      </c>
      <c r="S41" s="269">
        <v>2600</v>
      </c>
      <c r="T41" s="307">
        <v>100</v>
      </c>
      <c r="U41" s="265">
        <v>1000</v>
      </c>
      <c r="V41" s="266">
        <v>900</v>
      </c>
      <c r="W41" s="266">
        <v>200</v>
      </c>
      <c r="X41" s="266">
        <v>200</v>
      </c>
      <c r="Y41" s="266">
        <v>100</v>
      </c>
      <c r="Z41" s="266">
        <v>100</v>
      </c>
      <c r="AA41" s="266">
        <v>100</v>
      </c>
      <c r="AB41" s="347">
        <f t="shared" si="0"/>
        <v>2600</v>
      </c>
      <c r="AC41" s="266"/>
      <c r="AD41" s="266"/>
      <c r="AE41" s="266"/>
      <c r="AF41" s="71">
        <v>0</v>
      </c>
      <c r="AG41" s="71">
        <v>0</v>
      </c>
      <c r="AH41" s="71">
        <v>0</v>
      </c>
      <c r="AI41" s="71">
        <f t="shared" si="9"/>
        <v>100</v>
      </c>
      <c r="AJ41" s="71">
        <f t="shared" si="19"/>
        <v>2700</v>
      </c>
      <c r="AK41" s="71">
        <f t="shared" si="12"/>
        <v>0</v>
      </c>
      <c r="AL41" s="71">
        <f t="shared" si="3"/>
        <v>0</v>
      </c>
      <c r="AM41" s="71">
        <f t="shared" si="4"/>
        <v>0</v>
      </c>
      <c r="AN41" s="71"/>
      <c r="AO41" s="71"/>
      <c r="AP41" s="71"/>
      <c r="AQ41" s="418">
        <v>0</v>
      </c>
      <c r="AR41" s="71">
        <f t="shared" si="20"/>
        <v>0</v>
      </c>
      <c r="AS41" s="71">
        <f t="shared" si="21"/>
        <v>2700</v>
      </c>
      <c r="AT41" s="71"/>
      <c r="AU41" s="416" t="s">
        <v>275</v>
      </c>
      <c r="AV41" s="417"/>
    </row>
    <row r="42" s="224" customFormat="1" ht="25" customHeight="1" spans="1:48">
      <c r="A42" s="368">
        <f t="shared" si="17"/>
        <v>39</v>
      </c>
      <c r="B42" s="377" t="s">
        <v>321</v>
      </c>
      <c r="C42" s="250" t="s">
        <v>267</v>
      </c>
      <c r="D42" s="372" t="s">
        <v>265</v>
      </c>
      <c r="E42" s="244" t="s">
        <v>49</v>
      </c>
      <c r="F42" s="250">
        <v>31</v>
      </c>
      <c r="G42" s="251">
        <v>0</v>
      </c>
      <c r="H42" s="251">
        <v>0</v>
      </c>
      <c r="I42" s="251">
        <v>0</v>
      </c>
      <c r="J42" s="262">
        <v>0</v>
      </c>
      <c r="K42" s="251">
        <v>0</v>
      </c>
      <c r="L42" s="251">
        <v>0</v>
      </c>
      <c r="M42" s="251">
        <v>0</v>
      </c>
      <c r="N42" s="246">
        <v>0</v>
      </c>
      <c r="O42" s="392" t="s">
        <v>254</v>
      </c>
      <c r="P42" s="246">
        <v>0</v>
      </c>
      <c r="Q42" s="246">
        <v>0</v>
      </c>
      <c r="R42" s="246">
        <v>0</v>
      </c>
      <c r="S42" s="269">
        <v>2600</v>
      </c>
      <c r="T42" s="307"/>
      <c r="U42" s="265">
        <v>1000</v>
      </c>
      <c r="V42" s="266">
        <v>900</v>
      </c>
      <c r="W42" s="266">
        <v>200</v>
      </c>
      <c r="X42" s="266">
        <v>200</v>
      </c>
      <c r="Y42" s="266">
        <v>100</v>
      </c>
      <c r="Z42" s="266">
        <v>100</v>
      </c>
      <c r="AA42" s="266">
        <v>100</v>
      </c>
      <c r="AB42" s="347">
        <f t="shared" si="0"/>
        <v>2600</v>
      </c>
      <c r="AC42" s="266"/>
      <c r="AD42" s="266"/>
      <c r="AE42" s="266"/>
      <c r="AF42" s="71">
        <v>0</v>
      </c>
      <c r="AG42" s="71">
        <v>0</v>
      </c>
      <c r="AH42" s="71">
        <v>0</v>
      </c>
      <c r="AI42" s="71">
        <f t="shared" ref="AI42:AI65" si="22">T42</f>
        <v>0</v>
      </c>
      <c r="AJ42" s="71">
        <f t="shared" si="19"/>
        <v>2600</v>
      </c>
      <c r="AK42" s="71">
        <f t="shared" si="12"/>
        <v>0</v>
      </c>
      <c r="AL42" s="71">
        <f t="shared" si="3"/>
        <v>0</v>
      </c>
      <c r="AM42" s="71">
        <f t="shared" si="4"/>
        <v>0</v>
      </c>
      <c r="AN42" s="71"/>
      <c r="AO42" s="71"/>
      <c r="AP42" s="71"/>
      <c r="AQ42" s="71">
        <v>0</v>
      </c>
      <c r="AR42" s="71">
        <f t="shared" si="20"/>
        <v>0</v>
      </c>
      <c r="AS42" s="71">
        <f t="shared" si="21"/>
        <v>2600</v>
      </c>
      <c r="AT42" s="71"/>
      <c r="AU42" s="416" t="s">
        <v>254</v>
      </c>
      <c r="AV42" s="417"/>
    </row>
    <row r="43" s="224" customFormat="1" ht="46" customHeight="1" spans="1:48">
      <c r="A43" s="368">
        <f t="shared" si="17"/>
        <v>40</v>
      </c>
      <c r="B43" s="378" t="s">
        <v>322</v>
      </c>
      <c r="C43" s="250" t="s">
        <v>278</v>
      </c>
      <c r="D43" s="372" t="s">
        <v>288</v>
      </c>
      <c r="E43" s="244" t="s">
        <v>49</v>
      </c>
      <c r="F43" s="250">
        <v>31</v>
      </c>
      <c r="G43" s="251">
        <v>0</v>
      </c>
      <c r="H43" s="251">
        <v>0</v>
      </c>
      <c r="I43" s="251">
        <v>0</v>
      </c>
      <c r="J43" s="262">
        <v>0</v>
      </c>
      <c r="K43" s="251">
        <v>0</v>
      </c>
      <c r="L43" s="251">
        <v>0</v>
      </c>
      <c r="M43" s="251">
        <v>0</v>
      </c>
      <c r="N43" s="246">
        <v>0</v>
      </c>
      <c r="O43" s="392" t="s">
        <v>279</v>
      </c>
      <c r="P43" s="246">
        <v>0</v>
      </c>
      <c r="Q43" s="246">
        <v>0</v>
      </c>
      <c r="R43" s="246">
        <v>0</v>
      </c>
      <c r="S43" s="269" t="s">
        <v>280</v>
      </c>
      <c r="T43" s="307"/>
      <c r="U43" s="265">
        <f>1500/31*10+1400/31*21</f>
        <v>1432.25806451613</v>
      </c>
      <c r="V43" s="266">
        <v>0</v>
      </c>
      <c r="W43" s="266">
        <v>0</v>
      </c>
      <c r="X43" s="266">
        <v>0</v>
      </c>
      <c r="Y43" s="266">
        <v>0</v>
      </c>
      <c r="Z43" s="266">
        <v>0</v>
      </c>
      <c r="AA43" s="266">
        <v>0</v>
      </c>
      <c r="AB43" s="347">
        <f t="shared" si="0"/>
        <v>1432.25806451613</v>
      </c>
      <c r="AC43" s="407"/>
      <c r="AD43" s="407"/>
      <c r="AE43" s="407"/>
      <c r="AF43" s="73">
        <v>0</v>
      </c>
      <c r="AG43" s="73">
        <v>0</v>
      </c>
      <c r="AH43" s="73">
        <v>0</v>
      </c>
      <c r="AI43" s="71">
        <f t="shared" si="22"/>
        <v>0</v>
      </c>
      <c r="AJ43" s="71">
        <f t="shared" si="19"/>
        <v>1432.25806451613</v>
      </c>
      <c r="AK43" s="71">
        <f t="shared" si="12"/>
        <v>0</v>
      </c>
      <c r="AL43" s="71">
        <f t="shared" si="3"/>
        <v>0</v>
      </c>
      <c r="AM43" s="71">
        <f t="shared" si="4"/>
        <v>0</v>
      </c>
      <c r="AN43" s="71"/>
      <c r="AO43" s="71"/>
      <c r="AP43" s="71"/>
      <c r="AQ43" s="71"/>
      <c r="AR43" s="71">
        <f t="shared" si="20"/>
        <v>0</v>
      </c>
      <c r="AS43" s="71">
        <f t="shared" si="21"/>
        <v>1432.25806451613</v>
      </c>
      <c r="AT43" s="421"/>
      <c r="AU43" s="416" t="s">
        <v>279</v>
      </c>
      <c r="AV43" s="417"/>
    </row>
    <row r="44" s="224" customFormat="1" ht="25" customHeight="1" spans="1:48">
      <c r="A44" s="368">
        <f t="shared" si="17"/>
        <v>41</v>
      </c>
      <c r="B44" s="378" t="s">
        <v>323</v>
      </c>
      <c r="C44" s="244" t="s">
        <v>267</v>
      </c>
      <c r="D44" s="370" t="s">
        <v>324</v>
      </c>
      <c r="E44" s="244" t="s">
        <v>49</v>
      </c>
      <c r="F44" s="244">
        <v>31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0</v>
      </c>
      <c r="N44" s="249">
        <v>0</v>
      </c>
      <c r="O44" s="392" t="s">
        <v>325</v>
      </c>
      <c r="P44" s="246">
        <v>0</v>
      </c>
      <c r="Q44" s="246">
        <v>0</v>
      </c>
      <c r="R44" s="246">
        <v>0</v>
      </c>
      <c r="S44" s="307">
        <v>2400</v>
      </c>
      <c r="T44" s="307"/>
      <c r="U44" s="265">
        <v>1100</v>
      </c>
      <c r="V44" s="266">
        <v>500</v>
      </c>
      <c r="W44" s="266">
        <v>100</v>
      </c>
      <c r="X44" s="266">
        <v>200</v>
      </c>
      <c r="Y44" s="266">
        <v>100</v>
      </c>
      <c r="Z44" s="266">
        <v>200</v>
      </c>
      <c r="AA44" s="266">
        <v>200</v>
      </c>
      <c r="AB44" s="347">
        <f t="shared" si="0"/>
        <v>2400</v>
      </c>
      <c r="AC44" s="74">
        <v>200</v>
      </c>
      <c r="AD44" s="407"/>
      <c r="AE44" s="407"/>
      <c r="AF44" s="73">
        <v>0</v>
      </c>
      <c r="AG44" s="73">
        <v>0</v>
      </c>
      <c r="AH44" s="73">
        <v>0</v>
      </c>
      <c r="AI44" s="71">
        <f t="shared" si="22"/>
        <v>0</v>
      </c>
      <c r="AJ44" s="71">
        <f t="shared" si="19"/>
        <v>2600</v>
      </c>
      <c r="AK44" s="71">
        <f t="shared" si="12"/>
        <v>0</v>
      </c>
      <c r="AL44" s="71">
        <f t="shared" si="3"/>
        <v>0</v>
      </c>
      <c r="AM44" s="71">
        <f t="shared" si="4"/>
        <v>0</v>
      </c>
      <c r="AN44" s="71"/>
      <c r="AO44" s="71"/>
      <c r="AP44" s="71"/>
      <c r="AQ44" s="418">
        <v>0</v>
      </c>
      <c r="AR44" s="71">
        <f t="shared" si="20"/>
        <v>0</v>
      </c>
      <c r="AS44" s="71">
        <f t="shared" si="21"/>
        <v>2600</v>
      </c>
      <c r="AT44" s="421"/>
      <c r="AU44" s="416" t="s">
        <v>326</v>
      </c>
      <c r="AV44" s="417"/>
    </row>
    <row r="45" s="224" customFormat="1" ht="25" customHeight="1" spans="1:48">
      <c r="A45" s="368">
        <f t="shared" ref="A45:A54" si="23">ROW()-3</f>
        <v>42</v>
      </c>
      <c r="B45" s="378" t="s">
        <v>327</v>
      </c>
      <c r="C45" s="244" t="s">
        <v>273</v>
      </c>
      <c r="D45" s="370" t="s">
        <v>328</v>
      </c>
      <c r="E45" s="244" t="s">
        <v>49</v>
      </c>
      <c r="F45" s="250">
        <v>31</v>
      </c>
      <c r="G45" s="262">
        <v>0</v>
      </c>
      <c r="H45" s="262">
        <v>0</v>
      </c>
      <c r="I45" s="262">
        <v>0</v>
      </c>
      <c r="J45" s="262">
        <v>0</v>
      </c>
      <c r="K45" s="262">
        <v>0</v>
      </c>
      <c r="L45" s="262">
        <v>0</v>
      </c>
      <c r="M45" s="262">
        <v>0</v>
      </c>
      <c r="N45" s="249">
        <v>0</v>
      </c>
      <c r="O45" s="392" t="s">
        <v>254</v>
      </c>
      <c r="P45" s="246">
        <v>0</v>
      </c>
      <c r="Q45" s="246">
        <v>0</v>
      </c>
      <c r="R45" s="246">
        <v>0</v>
      </c>
      <c r="S45" s="307">
        <v>1700</v>
      </c>
      <c r="T45" s="307"/>
      <c r="U45" s="265">
        <v>1200</v>
      </c>
      <c r="V45" s="266">
        <v>100</v>
      </c>
      <c r="W45" s="266">
        <v>100</v>
      </c>
      <c r="X45" s="266">
        <v>50</v>
      </c>
      <c r="Y45" s="266">
        <v>50</v>
      </c>
      <c r="Z45" s="266">
        <v>100</v>
      </c>
      <c r="AA45" s="266">
        <v>100</v>
      </c>
      <c r="AB45" s="347">
        <f t="shared" si="0"/>
        <v>1700</v>
      </c>
      <c r="AC45" s="407"/>
      <c r="AD45" s="407"/>
      <c r="AE45" s="407"/>
      <c r="AF45" s="73">
        <v>0</v>
      </c>
      <c r="AG45" s="73">
        <v>0</v>
      </c>
      <c r="AH45" s="73">
        <v>0</v>
      </c>
      <c r="AI45" s="71">
        <f t="shared" si="22"/>
        <v>0</v>
      </c>
      <c r="AJ45" s="71">
        <f t="shared" si="19"/>
        <v>1700</v>
      </c>
      <c r="AK45" s="71">
        <f t="shared" si="12"/>
        <v>0</v>
      </c>
      <c r="AL45" s="71">
        <f t="shared" si="3"/>
        <v>0</v>
      </c>
      <c r="AM45" s="71">
        <f t="shared" si="4"/>
        <v>0</v>
      </c>
      <c r="AN45" s="71"/>
      <c r="AO45" s="71"/>
      <c r="AP45" s="71"/>
      <c r="AQ45" s="71">
        <v>0</v>
      </c>
      <c r="AR45" s="71">
        <f t="shared" si="20"/>
        <v>0</v>
      </c>
      <c r="AS45" s="71">
        <f t="shared" si="21"/>
        <v>1700</v>
      </c>
      <c r="AT45" s="421"/>
      <c r="AU45" s="416" t="s">
        <v>254</v>
      </c>
      <c r="AV45" s="417"/>
    </row>
    <row r="46" s="224" customFormat="1" ht="25" customHeight="1" spans="1:48">
      <c r="A46" s="368">
        <f t="shared" si="23"/>
        <v>43</v>
      </c>
      <c r="B46" s="378" t="s">
        <v>329</v>
      </c>
      <c r="C46" s="244" t="s">
        <v>273</v>
      </c>
      <c r="D46" s="370" t="s">
        <v>330</v>
      </c>
      <c r="E46" s="244" t="s">
        <v>49</v>
      </c>
      <c r="F46" s="244">
        <v>31</v>
      </c>
      <c r="G46" s="262">
        <v>0</v>
      </c>
      <c r="H46" s="262">
        <v>0</v>
      </c>
      <c r="I46" s="262">
        <v>0</v>
      </c>
      <c r="J46" s="262">
        <v>0</v>
      </c>
      <c r="K46" s="262">
        <v>0</v>
      </c>
      <c r="L46" s="262">
        <v>0</v>
      </c>
      <c r="M46" s="262">
        <v>0</v>
      </c>
      <c r="N46" s="249">
        <v>0</v>
      </c>
      <c r="O46" s="392" t="s">
        <v>254</v>
      </c>
      <c r="P46" s="246">
        <v>0</v>
      </c>
      <c r="Q46" s="246">
        <v>0</v>
      </c>
      <c r="R46" s="246">
        <v>0</v>
      </c>
      <c r="S46" s="307">
        <v>1700</v>
      </c>
      <c r="T46" s="307"/>
      <c r="U46" s="265">
        <v>1200</v>
      </c>
      <c r="V46" s="266">
        <v>100</v>
      </c>
      <c r="W46" s="266">
        <v>100</v>
      </c>
      <c r="X46" s="266">
        <v>50</v>
      </c>
      <c r="Y46" s="266">
        <v>50</v>
      </c>
      <c r="Z46" s="266">
        <v>100</v>
      </c>
      <c r="AA46" s="266">
        <v>100</v>
      </c>
      <c r="AB46" s="347">
        <f t="shared" si="0"/>
        <v>1700</v>
      </c>
      <c r="AC46" s="407"/>
      <c r="AD46" s="407"/>
      <c r="AE46" s="407"/>
      <c r="AF46" s="73">
        <v>0</v>
      </c>
      <c r="AG46" s="73">
        <v>0</v>
      </c>
      <c r="AH46" s="73">
        <v>0</v>
      </c>
      <c r="AI46" s="71">
        <f t="shared" si="22"/>
        <v>0</v>
      </c>
      <c r="AJ46" s="71">
        <f t="shared" si="19"/>
        <v>1700</v>
      </c>
      <c r="AK46" s="71">
        <f t="shared" si="12"/>
        <v>0</v>
      </c>
      <c r="AL46" s="71">
        <f t="shared" si="3"/>
        <v>0</v>
      </c>
      <c r="AM46" s="71">
        <f t="shared" si="4"/>
        <v>0</v>
      </c>
      <c r="AN46" s="71"/>
      <c r="AO46" s="71"/>
      <c r="AP46" s="71"/>
      <c r="AQ46" s="418">
        <v>0</v>
      </c>
      <c r="AR46" s="71">
        <f t="shared" si="20"/>
        <v>0</v>
      </c>
      <c r="AS46" s="71">
        <f t="shared" si="21"/>
        <v>1700</v>
      </c>
      <c r="AT46" s="421"/>
      <c r="AU46" s="416" t="s">
        <v>254</v>
      </c>
      <c r="AV46" s="417"/>
    </row>
    <row r="47" s="224" customFormat="1" ht="25" customHeight="1" spans="1:48">
      <c r="A47" s="368">
        <f t="shared" si="23"/>
        <v>44</v>
      </c>
      <c r="B47" s="378" t="s">
        <v>331</v>
      </c>
      <c r="C47" s="244" t="s">
        <v>267</v>
      </c>
      <c r="D47" s="370" t="s">
        <v>332</v>
      </c>
      <c r="E47" s="244" t="s">
        <v>49</v>
      </c>
      <c r="F47" s="250">
        <v>31</v>
      </c>
      <c r="G47" s="262">
        <v>0</v>
      </c>
      <c r="H47" s="262">
        <v>0</v>
      </c>
      <c r="I47" s="262">
        <v>0</v>
      </c>
      <c r="J47" s="262">
        <v>0</v>
      </c>
      <c r="K47" s="262">
        <v>0</v>
      </c>
      <c r="L47" s="262">
        <v>0</v>
      </c>
      <c r="M47" s="262">
        <v>0</v>
      </c>
      <c r="N47" s="249">
        <v>0</v>
      </c>
      <c r="O47" s="392" t="s">
        <v>254</v>
      </c>
      <c r="P47" s="246">
        <v>0</v>
      </c>
      <c r="Q47" s="246">
        <v>0</v>
      </c>
      <c r="R47" s="246">
        <v>0</v>
      </c>
      <c r="S47" s="307">
        <v>2600</v>
      </c>
      <c r="T47" s="307"/>
      <c r="U47" s="265">
        <v>1000</v>
      </c>
      <c r="V47" s="266">
        <v>900</v>
      </c>
      <c r="W47" s="266">
        <v>200</v>
      </c>
      <c r="X47" s="266">
        <v>200</v>
      </c>
      <c r="Y47" s="266">
        <v>100</v>
      </c>
      <c r="Z47" s="266">
        <v>100</v>
      </c>
      <c r="AA47" s="266">
        <v>100</v>
      </c>
      <c r="AB47" s="347">
        <f t="shared" si="0"/>
        <v>2600</v>
      </c>
      <c r="AC47" s="407"/>
      <c r="AD47" s="407"/>
      <c r="AE47" s="407"/>
      <c r="AF47" s="73">
        <v>0</v>
      </c>
      <c r="AG47" s="73">
        <v>0</v>
      </c>
      <c r="AH47" s="73">
        <v>0</v>
      </c>
      <c r="AI47" s="71">
        <f t="shared" si="22"/>
        <v>0</v>
      </c>
      <c r="AJ47" s="71">
        <f t="shared" si="19"/>
        <v>2600</v>
      </c>
      <c r="AK47" s="71">
        <f t="shared" si="12"/>
        <v>0</v>
      </c>
      <c r="AL47" s="71">
        <f t="shared" si="3"/>
        <v>0</v>
      </c>
      <c r="AM47" s="71">
        <f t="shared" si="4"/>
        <v>0</v>
      </c>
      <c r="AN47" s="71"/>
      <c r="AO47" s="71"/>
      <c r="AP47" s="71"/>
      <c r="AQ47" s="418">
        <v>0</v>
      </c>
      <c r="AR47" s="71">
        <f t="shared" si="20"/>
        <v>0</v>
      </c>
      <c r="AS47" s="71">
        <f t="shared" si="21"/>
        <v>2600</v>
      </c>
      <c r="AT47" s="421"/>
      <c r="AU47" s="416" t="s">
        <v>254</v>
      </c>
      <c r="AV47" s="417"/>
    </row>
    <row r="48" s="224" customFormat="1" ht="25" customHeight="1" spans="1:48">
      <c r="A48" s="368">
        <f t="shared" si="23"/>
        <v>45</v>
      </c>
      <c r="B48" s="378" t="s">
        <v>333</v>
      </c>
      <c r="C48" s="244" t="s">
        <v>267</v>
      </c>
      <c r="D48" s="370" t="s">
        <v>334</v>
      </c>
      <c r="E48" s="244" t="s">
        <v>49</v>
      </c>
      <c r="F48" s="244">
        <v>31</v>
      </c>
      <c r="G48" s="249">
        <v>0</v>
      </c>
      <c r="H48" s="249"/>
      <c r="I48" s="249">
        <v>0</v>
      </c>
      <c r="J48" s="262">
        <v>0</v>
      </c>
      <c r="K48" s="249">
        <v>0</v>
      </c>
      <c r="L48" s="249">
        <v>0</v>
      </c>
      <c r="M48" s="249">
        <v>0</v>
      </c>
      <c r="N48" s="249">
        <v>0</v>
      </c>
      <c r="O48" s="392" t="s">
        <v>326</v>
      </c>
      <c r="P48" s="246">
        <v>0</v>
      </c>
      <c r="Q48" s="246">
        <v>0</v>
      </c>
      <c r="R48" s="246">
        <v>0</v>
      </c>
      <c r="S48" s="307">
        <v>2300</v>
      </c>
      <c r="T48" s="307"/>
      <c r="U48" s="265">
        <v>1000</v>
      </c>
      <c r="V48" s="266">
        <v>700</v>
      </c>
      <c r="W48" s="266">
        <v>200</v>
      </c>
      <c r="X48" s="266">
        <v>100</v>
      </c>
      <c r="Y48" s="266">
        <v>100</v>
      </c>
      <c r="Z48" s="266">
        <v>100</v>
      </c>
      <c r="AA48" s="266">
        <v>100</v>
      </c>
      <c r="AB48" s="347">
        <f t="shared" si="0"/>
        <v>2300</v>
      </c>
      <c r="AC48" s="74">
        <v>200</v>
      </c>
      <c r="AD48" s="407"/>
      <c r="AE48" s="407"/>
      <c r="AF48" s="73">
        <v>0</v>
      </c>
      <c r="AG48" s="73">
        <v>0</v>
      </c>
      <c r="AH48" s="73">
        <v>0</v>
      </c>
      <c r="AI48" s="71">
        <f t="shared" si="22"/>
        <v>0</v>
      </c>
      <c r="AJ48" s="71">
        <f t="shared" si="19"/>
        <v>2500</v>
      </c>
      <c r="AK48" s="71">
        <f t="shared" si="12"/>
        <v>0</v>
      </c>
      <c r="AL48" s="71">
        <f t="shared" si="3"/>
        <v>0</v>
      </c>
      <c r="AM48" s="71">
        <f t="shared" si="4"/>
        <v>0</v>
      </c>
      <c r="AN48" s="71"/>
      <c r="AO48" s="71"/>
      <c r="AP48" s="71"/>
      <c r="AQ48" s="418">
        <v>0</v>
      </c>
      <c r="AR48" s="71">
        <f t="shared" si="20"/>
        <v>0</v>
      </c>
      <c r="AS48" s="71">
        <f t="shared" si="21"/>
        <v>2500</v>
      </c>
      <c r="AT48" s="421"/>
      <c r="AU48" s="416" t="s">
        <v>326</v>
      </c>
      <c r="AV48" s="417"/>
    </row>
    <row r="49" s="224" customFormat="1" ht="25" customHeight="1" spans="1:48">
      <c r="A49" s="368">
        <f t="shared" si="23"/>
        <v>46</v>
      </c>
      <c r="B49" s="378" t="s">
        <v>335</v>
      </c>
      <c r="C49" s="244" t="s">
        <v>267</v>
      </c>
      <c r="D49" s="370" t="s">
        <v>336</v>
      </c>
      <c r="E49" s="244" t="s">
        <v>49</v>
      </c>
      <c r="F49" s="250">
        <v>31</v>
      </c>
      <c r="G49" s="262">
        <v>0</v>
      </c>
      <c r="H49" s="249">
        <v>0</v>
      </c>
      <c r="I49" s="262">
        <v>0</v>
      </c>
      <c r="J49" s="249">
        <v>0</v>
      </c>
      <c r="K49" s="262">
        <v>0</v>
      </c>
      <c r="L49" s="249">
        <v>0</v>
      </c>
      <c r="M49" s="262">
        <v>0</v>
      </c>
      <c r="N49" s="249">
        <v>0</v>
      </c>
      <c r="O49" s="392" t="s">
        <v>254</v>
      </c>
      <c r="P49" s="246">
        <v>0</v>
      </c>
      <c r="Q49" s="246">
        <v>0</v>
      </c>
      <c r="R49" s="246">
        <v>0</v>
      </c>
      <c r="S49" s="307">
        <v>2800</v>
      </c>
      <c r="T49" s="307"/>
      <c r="U49" s="265">
        <v>1200</v>
      </c>
      <c r="V49" s="266">
        <v>900</v>
      </c>
      <c r="W49" s="266">
        <v>200</v>
      </c>
      <c r="X49" s="266">
        <v>200</v>
      </c>
      <c r="Y49" s="266">
        <v>100</v>
      </c>
      <c r="Z49" s="266">
        <v>100</v>
      </c>
      <c r="AA49" s="266">
        <v>100</v>
      </c>
      <c r="AB49" s="347">
        <f t="shared" si="0"/>
        <v>2800</v>
      </c>
      <c r="AC49" s="408"/>
      <c r="AD49" s="408"/>
      <c r="AE49" s="408"/>
      <c r="AF49" s="73">
        <v>0</v>
      </c>
      <c r="AG49" s="73">
        <v>0</v>
      </c>
      <c r="AH49" s="73">
        <v>0</v>
      </c>
      <c r="AI49" s="71">
        <f t="shared" si="22"/>
        <v>0</v>
      </c>
      <c r="AJ49" s="71">
        <f t="shared" si="19"/>
        <v>2800</v>
      </c>
      <c r="AK49" s="71">
        <f t="shared" si="12"/>
        <v>0</v>
      </c>
      <c r="AL49" s="71">
        <f t="shared" si="3"/>
        <v>0</v>
      </c>
      <c r="AM49" s="71">
        <f t="shared" si="4"/>
        <v>0</v>
      </c>
      <c r="AN49" s="411"/>
      <c r="AO49" s="411"/>
      <c r="AP49" s="71"/>
      <c r="AQ49" s="422"/>
      <c r="AR49" s="71">
        <f t="shared" si="20"/>
        <v>0</v>
      </c>
      <c r="AS49" s="71">
        <f t="shared" si="21"/>
        <v>2800</v>
      </c>
      <c r="AT49" s="423"/>
      <c r="AU49" s="416" t="s">
        <v>254</v>
      </c>
      <c r="AV49" s="417"/>
    </row>
    <row r="50" s="226" customFormat="1" ht="25" customHeight="1" spans="1:48">
      <c r="A50" s="368">
        <f t="shared" si="23"/>
        <v>47</v>
      </c>
      <c r="B50" s="379" t="s">
        <v>337</v>
      </c>
      <c r="C50" s="244" t="s">
        <v>267</v>
      </c>
      <c r="D50" s="370" t="s">
        <v>338</v>
      </c>
      <c r="E50" s="244" t="s">
        <v>49</v>
      </c>
      <c r="F50" s="244">
        <v>31</v>
      </c>
      <c r="G50" s="262">
        <v>0</v>
      </c>
      <c r="H50" s="262">
        <v>20</v>
      </c>
      <c r="I50" s="262">
        <v>0</v>
      </c>
      <c r="J50" s="262">
        <v>0</v>
      </c>
      <c r="K50" s="262">
        <v>0</v>
      </c>
      <c r="L50" s="262">
        <v>0</v>
      </c>
      <c r="M50" s="262">
        <v>0</v>
      </c>
      <c r="N50" s="262">
        <v>0</v>
      </c>
      <c r="O50" s="392" t="s">
        <v>339</v>
      </c>
      <c r="P50" s="251">
        <v>0</v>
      </c>
      <c r="Q50" s="251">
        <v>0</v>
      </c>
      <c r="R50" s="251">
        <v>0</v>
      </c>
      <c r="S50" s="307">
        <v>2400</v>
      </c>
      <c r="T50" s="307"/>
      <c r="U50" s="265">
        <v>1000</v>
      </c>
      <c r="V50" s="265">
        <v>700</v>
      </c>
      <c r="W50" s="265">
        <v>200</v>
      </c>
      <c r="X50" s="265">
        <v>200</v>
      </c>
      <c r="Y50" s="265">
        <v>100</v>
      </c>
      <c r="Z50" s="265">
        <v>100</v>
      </c>
      <c r="AA50" s="265">
        <v>100</v>
      </c>
      <c r="AB50" s="406">
        <f t="shared" si="0"/>
        <v>2400</v>
      </c>
      <c r="AC50" s="409"/>
      <c r="AD50" s="409"/>
      <c r="AE50" s="409"/>
      <c r="AF50" s="58">
        <v>0</v>
      </c>
      <c r="AG50" s="58">
        <v>0</v>
      </c>
      <c r="AH50" s="58">
        <v>0</v>
      </c>
      <c r="AI50" s="71">
        <f t="shared" si="22"/>
        <v>0</v>
      </c>
      <c r="AJ50" s="71">
        <f t="shared" si="19"/>
        <v>2400</v>
      </c>
      <c r="AK50" s="50">
        <f t="shared" si="12"/>
        <v>20</v>
      </c>
      <c r="AL50" s="50">
        <f t="shared" si="3"/>
        <v>1548.38709677419</v>
      </c>
      <c r="AM50" s="50">
        <f t="shared" si="4"/>
        <v>0</v>
      </c>
      <c r="AN50" s="412"/>
      <c r="AO50" s="412"/>
      <c r="AP50" s="50"/>
      <c r="AQ50" s="424"/>
      <c r="AR50" s="71">
        <f t="shared" si="20"/>
        <v>1548.38709677419</v>
      </c>
      <c r="AS50" s="71">
        <f t="shared" si="21"/>
        <v>851.61290322581</v>
      </c>
      <c r="AT50" s="425"/>
      <c r="AU50" s="416" t="s">
        <v>339</v>
      </c>
      <c r="AV50" s="420"/>
    </row>
    <row r="51" s="224" customFormat="1" ht="25" customHeight="1" spans="1:48">
      <c r="A51" s="368">
        <f t="shared" si="23"/>
        <v>48</v>
      </c>
      <c r="B51" s="378" t="s">
        <v>340</v>
      </c>
      <c r="C51" s="244" t="s">
        <v>273</v>
      </c>
      <c r="D51" s="370" t="s">
        <v>341</v>
      </c>
      <c r="E51" s="244" t="s">
        <v>49</v>
      </c>
      <c r="F51" s="250">
        <v>31</v>
      </c>
      <c r="G51" s="262">
        <v>0</v>
      </c>
      <c r="H51" s="249">
        <v>0</v>
      </c>
      <c r="I51" s="262">
        <v>0</v>
      </c>
      <c r="J51" s="249">
        <v>0</v>
      </c>
      <c r="K51" s="262">
        <v>0</v>
      </c>
      <c r="L51" s="249">
        <v>0</v>
      </c>
      <c r="M51" s="262">
        <v>0</v>
      </c>
      <c r="N51" s="249">
        <v>0</v>
      </c>
      <c r="O51" s="392" t="s">
        <v>254</v>
      </c>
      <c r="P51" s="246">
        <v>0</v>
      </c>
      <c r="Q51" s="246">
        <v>0</v>
      </c>
      <c r="R51" s="246">
        <v>0</v>
      </c>
      <c r="S51" s="307">
        <v>1700</v>
      </c>
      <c r="T51" s="307"/>
      <c r="U51" s="265">
        <v>1200</v>
      </c>
      <c r="V51" s="266">
        <v>100</v>
      </c>
      <c r="W51" s="266">
        <v>100</v>
      </c>
      <c r="X51" s="266">
        <v>50</v>
      </c>
      <c r="Y51" s="266">
        <v>50</v>
      </c>
      <c r="Z51" s="266">
        <v>100</v>
      </c>
      <c r="AA51" s="266">
        <v>100</v>
      </c>
      <c r="AB51" s="347">
        <f t="shared" si="0"/>
        <v>1700</v>
      </c>
      <c r="AC51" s="408"/>
      <c r="AD51" s="408"/>
      <c r="AE51" s="408"/>
      <c r="AF51" s="73">
        <v>0</v>
      </c>
      <c r="AG51" s="73">
        <v>0</v>
      </c>
      <c r="AH51" s="73">
        <v>0</v>
      </c>
      <c r="AI51" s="71">
        <f t="shared" si="22"/>
        <v>0</v>
      </c>
      <c r="AJ51" s="71">
        <f t="shared" si="19"/>
        <v>1700</v>
      </c>
      <c r="AK51" s="71">
        <f t="shared" si="12"/>
        <v>0</v>
      </c>
      <c r="AL51" s="71">
        <f t="shared" si="3"/>
        <v>0</v>
      </c>
      <c r="AM51" s="71">
        <f t="shared" si="4"/>
        <v>0</v>
      </c>
      <c r="AN51" s="411"/>
      <c r="AO51" s="411"/>
      <c r="AP51" s="71"/>
      <c r="AQ51" s="422"/>
      <c r="AR51" s="71">
        <f t="shared" si="20"/>
        <v>0</v>
      </c>
      <c r="AS51" s="71">
        <f t="shared" si="21"/>
        <v>1700</v>
      </c>
      <c r="AT51" s="423"/>
      <c r="AU51" s="416" t="s">
        <v>254</v>
      </c>
      <c r="AV51" s="417"/>
    </row>
    <row r="52" s="224" customFormat="1" ht="25" customHeight="1" spans="1:48">
      <c r="A52" s="368">
        <f t="shared" si="23"/>
        <v>49</v>
      </c>
      <c r="B52" s="378" t="s">
        <v>342</v>
      </c>
      <c r="C52" s="244" t="s">
        <v>267</v>
      </c>
      <c r="D52" s="370" t="s">
        <v>343</v>
      </c>
      <c r="E52" s="244" t="s">
        <v>49</v>
      </c>
      <c r="F52" s="244">
        <v>31</v>
      </c>
      <c r="G52" s="262">
        <v>0</v>
      </c>
      <c r="H52" s="249">
        <v>0</v>
      </c>
      <c r="I52" s="262">
        <v>0</v>
      </c>
      <c r="J52" s="249">
        <v>0</v>
      </c>
      <c r="K52" s="262">
        <v>0</v>
      </c>
      <c r="L52" s="249">
        <v>0</v>
      </c>
      <c r="M52" s="262">
        <v>0</v>
      </c>
      <c r="N52" s="249">
        <v>0</v>
      </c>
      <c r="O52" s="392" t="s">
        <v>254</v>
      </c>
      <c r="P52" s="246">
        <v>0</v>
      </c>
      <c r="Q52" s="246">
        <v>0</v>
      </c>
      <c r="R52" s="246">
        <v>0</v>
      </c>
      <c r="S52" s="307">
        <v>2600</v>
      </c>
      <c r="T52" s="307"/>
      <c r="U52" s="265">
        <v>1000</v>
      </c>
      <c r="V52" s="266">
        <v>900</v>
      </c>
      <c r="W52" s="266">
        <v>200</v>
      </c>
      <c r="X52" s="266">
        <v>200</v>
      </c>
      <c r="Y52" s="266">
        <v>100</v>
      </c>
      <c r="Z52" s="266">
        <v>100</v>
      </c>
      <c r="AA52" s="266">
        <v>100</v>
      </c>
      <c r="AB52" s="347">
        <f t="shared" si="0"/>
        <v>2600</v>
      </c>
      <c r="AC52" s="408"/>
      <c r="AD52" s="408"/>
      <c r="AE52" s="408"/>
      <c r="AF52" s="73">
        <v>0</v>
      </c>
      <c r="AG52" s="73">
        <v>0</v>
      </c>
      <c r="AH52" s="73">
        <v>0</v>
      </c>
      <c r="AI52" s="71">
        <f t="shared" si="22"/>
        <v>0</v>
      </c>
      <c r="AJ52" s="71">
        <f t="shared" si="19"/>
        <v>2600</v>
      </c>
      <c r="AK52" s="71">
        <f t="shared" si="12"/>
        <v>0</v>
      </c>
      <c r="AL52" s="71">
        <f t="shared" si="3"/>
        <v>0</v>
      </c>
      <c r="AM52" s="71">
        <f t="shared" si="4"/>
        <v>0</v>
      </c>
      <c r="AN52" s="411"/>
      <c r="AO52" s="411"/>
      <c r="AP52" s="71"/>
      <c r="AQ52" s="422"/>
      <c r="AR52" s="71">
        <f t="shared" si="20"/>
        <v>0</v>
      </c>
      <c r="AS52" s="71">
        <f t="shared" si="21"/>
        <v>2600</v>
      </c>
      <c r="AT52" s="423"/>
      <c r="AU52" s="416" t="s">
        <v>254</v>
      </c>
      <c r="AV52" s="417"/>
    </row>
    <row r="53" s="224" customFormat="1" ht="25" customHeight="1" spans="1:48">
      <c r="A53" s="368">
        <f t="shared" si="23"/>
        <v>50</v>
      </c>
      <c r="B53" s="378" t="s">
        <v>344</v>
      </c>
      <c r="C53" s="244" t="s">
        <v>267</v>
      </c>
      <c r="D53" s="370" t="s">
        <v>345</v>
      </c>
      <c r="E53" s="244" t="s">
        <v>49</v>
      </c>
      <c r="F53" s="244">
        <v>31</v>
      </c>
      <c r="G53" s="262">
        <v>0</v>
      </c>
      <c r="H53" s="249">
        <v>0</v>
      </c>
      <c r="I53" s="262">
        <v>0</v>
      </c>
      <c r="J53" s="249">
        <v>0</v>
      </c>
      <c r="K53" s="262">
        <v>0</v>
      </c>
      <c r="L53" s="249">
        <v>0</v>
      </c>
      <c r="M53" s="262">
        <v>0</v>
      </c>
      <c r="N53" s="249">
        <v>0</v>
      </c>
      <c r="O53" s="392" t="s">
        <v>254</v>
      </c>
      <c r="P53" s="246">
        <v>0</v>
      </c>
      <c r="Q53" s="246">
        <v>0</v>
      </c>
      <c r="R53" s="246">
        <v>0</v>
      </c>
      <c r="S53" s="307">
        <v>2800</v>
      </c>
      <c r="T53" s="307"/>
      <c r="U53" s="265">
        <v>1200</v>
      </c>
      <c r="V53" s="266">
        <v>900</v>
      </c>
      <c r="W53" s="266">
        <v>200</v>
      </c>
      <c r="X53" s="266">
        <v>200</v>
      </c>
      <c r="Y53" s="266">
        <v>100</v>
      </c>
      <c r="Z53" s="266">
        <v>100</v>
      </c>
      <c r="AA53" s="266">
        <v>100</v>
      </c>
      <c r="AB53" s="347">
        <f t="shared" si="0"/>
        <v>2800</v>
      </c>
      <c r="AC53" s="408"/>
      <c r="AD53" s="408"/>
      <c r="AE53" s="408"/>
      <c r="AF53" s="73">
        <v>0</v>
      </c>
      <c r="AG53" s="73">
        <v>0</v>
      </c>
      <c r="AH53" s="73">
        <v>0</v>
      </c>
      <c r="AI53" s="71">
        <f t="shared" si="22"/>
        <v>0</v>
      </c>
      <c r="AJ53" s="71">
        <f t="shared" si="19"/>
        <v>2800</v>
      </c>
      <c r="AK53" s="71">
        <f t="shared" si="12"/>
        <v>0</v>
      </c>
      <c r="AL53" s="71">
        <f t="shared" si="3"/>
        <v>0</v>
      </c>
      <c r="AM53" s="71">
        <f t="shared" si="4"/>
        <v>0</v>
      </c>
      <c r="AN53" s="411"/>
      <c r="AO53" s="411"/>
      <c r="AP53" s="71"/>
      <c r="AQ53" s="422"/>
      <c r="AR53" s="71">
        <f t="shared" si="20"/>
        <v>0</v>
      </c>
      <c r="AS53" s="71">
        <f t="shared" si="21"/>
        <v>2800</v>
      </c>
      <c r="AT53" s="423"/>
      <c r="AU53" s="416" t="s">
        <v>254</v>
      </c>
      <c r="AV53" s="417"/>
    </row>
    <row r="54" s="224" customFormat="1" ht="25" customHeight="1" spans="1:48">
      <c r="A54" s="368">
        <f t="shared" si="23"/>
        <v>51</v>
      </c>
      <c r="B54" s="378" t="s">
        <v>346</v>
      </c>
      <c r="C54" s="244" t="s">
        <v>267</v>
      </c>
      <c r="D54" s="370" t="s">
        <v>345</v>
      </c>
      <c r="E54" s="244" t="s">
        <v>49</v>
      </c>
      <c r="F54" s="250">
        <v>31</v>
      </c>
      <c r="G54" s="262">
        <v>0</v>
      </c>
      <c r="H54" s="249">
        <v>0</v>
      </c>
      <c r="I54" s="262">
        <v>0</v>
      </c>
      <c r="J54" s="249">
        <v>0</v>
      </c>
      <c r="K54" s="262">
        <v>0</v>
      </c>
      <c r="L54" s="249">
        <v>0</v>
      </c>
      <c r="M54" s="262">
        <v>0</v>
      </c>
      <c r="N54" s="249">
        <v>0</v>
      </c>
      <c r="O54" s="392" t="s">
        <v>254</v>
      </c>
      <c r="P54" s="246">
        <v>0</v>
      </c>
      <c r="Q54" s="246">
        <v>0</v>
      </c>
      <c r="R54" s="246">
        <v>0</v>
      </c>
      <c r="S54" s="307">
        <v>2600</v>
      </c>
      <c r="T54" s="307"/>
      <c r="U54" s="265">
        <v>1000</v>
      </c>
      <c r="V54" s="266">
        <v>900</v>
      </c>
      <c r="W54" s="266">
        <v>200</v>
      </c>
      <c r="X54" s="266">
        <v>200</v>
      </c>
      <c r="Y54" s="266">
        <v>100</v>
      </c>
      <c r="Z54" s="266">
        <v>100</v>
      </c>
      <c r="AA54" s="266">
        <v>100</v>
      </c>
      <c r="AB54" s="347">
        <f t="shared" si="0"/>
        <v>2600</v>
      </c>
      <c r="AC54" s="408"/>
      <c r="AD54" s="408"/>
      <c r="AE54" s="408"/>
      <c r="AF54" s="73">
        <v>0</v>
      </c>
      <c r="AG54" s="73">
        <v>0</v>
      </c>
      <c r="AH54" s="73">
        <v>0</v>
      </c>
      <c r="AI54" s="71">
        <f t="shared" si="22"/>
        <v>0</v>
      </c>
      <c r="AJ54" s="71">
        <f t="shared" si="19"/>
        <v>2600</v>
      </c>
      <c r="AK54" s="71">
        <f t="shared" si="12"/>
        <v>0</v>
      </c>
      <c r="AL54" s="71">
        <f t="shared" si="3"/>
        <v>0</v>
      </c>
      <c r="AM54" s="71">
        <f t="shared" si="4"/>
        <v>0</v>
      </c>
      <c r="AN54" s="411"/>
      <c r="AO54" s="411"/>
      <c r="AP54" s="71"/>
      <c r="AQ54" s="422"/>
      <c r="AR54" s="71">
        <f t="shared" si="20"/>
        <v>0</v>
      </c>
      <c r="AS54" s="71">
        <f t="shared" si="21"/>
        <v>2600</v>
      </c>
      <c r="AT54" s="423"/>
      <c r="AU54" s="416" t="s">
        <v>254</v>
      </c>
      <c r="AV54" s="417"/>
    </row>
    <row r="55" s="226" customFormat="1" ht="25" customHeight="1" spans="1:48">
      <c r="A55" s="368">
        <f t="shared" ref="A55:A66" si="24">ROW()-3</f>
        <v>52</v>
      </c>
      <c r="B55" s="380" t="s">
        <v>347</v>
      </c>
      <c r="C55" s="244" t="s">
        <v>267</v>
      </c>
      <c r="D55" s="370" t="s">
        <v>348</v>
      </c>
      <c r="E55" s="258" t="s">
        <v>107</v>
      </c>
      <c r="F55" s="244">
        <v>23</v>
      </c>
      <c r="G55" s="262">
        <v>0</v>
      </c>
      <c r="H55" s="262">
        <v>0</v>
      </c>
      <c r="I55" s="262">
        <v>0</v>
      </c>
      <c r="J55" s="262">
        <v>0</v>
      </c>
      <c r="K55" s="262">
        <v>0</v>
      </c>
      <c r="L55" s="262">
        <v>0</v>
      </c>
      <c r="M55" s="262">
        <v>0</v>
      </c>
      <c r="N55" s="262">
        <v>0</v>
      </c>
      <c r="O55" s="394" t="s">
        <v>349</v>
      </c>
      <c r="P55" s="251">
        <v>0</v>
      </c>
      <c r="Q55" s="251">
        <v>0</v>
      </c>
      <c r="R55" s="251">
        <v>0</v>
      </c>
      <c r="S55" s="307">
        <v>2600</v>
      </c>
      <c r="T55" s="307"/>
      <c r="U55" s="265">
        <f>2600/31*23</f>
        <v>1929.03225806452</v>
      </c>
      <c r="V55" s="265">
        <v>0</v>
      </c>
      <c r="W55" s="265">
        <v>0</v>
      </c>
      <c r="X55" s="265">
        <v>0</v>
      </c>
      <c r="Y55" s="265">
        <v>0</v>
      </c>
      <c r="Z55" s="265">
        <v>0</v>
      </c>
      <c r="AA55" s="265">
        <v>0</v>
      </c>
      <c r="AB55" s="406">
        <f t="shared" si="0"/>
        <v>1929.03225806452</v>
      </c>
      <c r="AC55" s="409"/>
      <c r="AD55" s="409"/>
      <c r="AE55" s="409"/>
      <c r="AF55" s="58">
        <v>0</v>
      </c>
      <c r="AG55" s="58">
        <v>0</v>
      </c>
      <c r="AH55" s="58">
        <v>0</v>
      </c>
      <c r="AI55" s="71">
        <f t="shared" si="22"/>
        <v>0</v>
      </c>
      <c r="AJ55" s="71">
        <f t="shared" si="19"/>
        <v>1929.03225806452</v>
      </c>
      <c r="AK55" s="50">
        <f t="shared" si="12"/>
        <v>0</v>
      </c>
      <c r="AL55" s="50">
        <f t="shared" si="3"/>
        <v>0</v>
      </c>
      <c r="AM55" s="50">
        <f t="shared" si="4"/>
        <v>0</v>
      </c>
      <c r="AN55" s="412"/>
      <c r="AO55" s="412"/>
      <c r="AP55" s="50"/>
      <c r="AQ55" s="424"/>
      <c r="AR55" s="71">
        <f t="shared" si="20"/>
        <v>0</v>
      </c>
      <c r="AS55" s="71">
        <f t="shared" si="21"/>
        <v>1929.03225806452</v>
      </c>
      <c r="AT55" s="425"/>
      <c r="AU55" s="416" t="s">
        <v>349</v>
      </c>
      <c r="AV55" s="420"/>
    </row>
    <row r="56" s="224" customFormat="1" ht="33" customHeight="1" spans="1:48">
      <c r="A56" s="368">
        <f t="shared" si="24"/>
        <v>53</v>
      </c>
      <c r="B56" s="378" t="s">
        <v>350</v>
      </c>
      <c r="C56" s="244" t="s">
        <v>267</v>
      </c>
      <c r="D56" s="381" t="s">
        <v>351</v>
      </c>
      <c r="E56" s="244" t="s">
        <v>49</v>
      </c>
      <c r="F56" s="250">
        <v>31</v>
      </c>
      <c r="G56" s="262">
        <v>0</v>
      </c>
      <c r="H56" s="249">
        <v>0</v>
      </c>
      <c r="I56" s="262">
        <v>0</v>
      </c>
      <c r="J56" s="249">
        <v>0</v>
      </c>
      <c r="K56" s="262">
        <v>0</v>
      </c>
      <c r="L56" s="249">
        <v>0</v>
      </c>
      <c r="M56" s="262">
        <v>0</v>
      </c>
      <c r="N56" s="249">
        <v>0</v>
      </c>
      <c r="O56" s="392" t="s">
        <v>254</v>
      </c>
      <c r="P56" s="246">
        <v>0</v>
      </c>
      <c r="Q56" s="246">
        <v>0</v>
      </c>
      <c r="R56" s="246">
        <v>0</v>
      </c>
      <c r="S56" s="306">
        <v>2600</v>
      </c>
      <c r="T56" s="307"/>
      <c r="U56" s="265">
        <v>1000</v>
      </c>
      <c r="V56" s="266">
        <v>900</v>
      </c>
      <c r="W56" s="266">
        <v>200</v>
      </c>
      <c r="X56" s="266">
        <v>200</v>
      </c>
      <c r="Y56" s="266">
        <v>100</v>
      </c>
      <c r="Z56" s="266">
        <v>100</v>
      </c>
      <c r="AA56" s="266">
        <v>100</v>
      </c>
      <c r="AB56" s="347">
        <f t="shared" si="0"/>
        <v>2600</v>
      </c>
      <c r="AC56" s="347"/>
      <c r="AD56" s="408"/>
      <c r="AE56" s="408"/>
      <c r="AF56" s="73">
        <v>0</v>
      </c>
      <c r="AG56" s="73">
        <v>0</v>
      </c>
      <c r="AH56" s="73">
        <v>0</v>
      </c>
      <c r="AI56" s="71">
        <f t="shared" si="22"/>
        <v>0</v>
      </c>
      <c r="AJ56" s="71">
        <f t="shared" si="19"/>
        <v>2600</v>
      </c>
      <c r="AK56" s="71">
        <f t="shared" si="12"/>
        <v>0</v>
      </c>
      <c r="AL56" s="71">
        <f t="shared" si="3"/>
        <v>0</v>
      </c>
      <c r="AM56" s="71">
        <f t="shared" si="4"/>
        <v>0</v>
      </c>
      <c r="AN56" s="411"/>
      <c r="AO56" s="411"/>
      <c r="AP56" s="71"/>
      <c r="AQ56" s="422"/>
      <c r="AR56" s="71">
        <f t="shared" si="20"/>
        <v>0</v>
      </c>
      <c r="AS56" s="71">
        <f t="shared" si="21"/>
        <v>2600</v>
      </c>
      <c r="AT56" s="423"/>
      <c r="AU56" s="416" t="s">
        <v>254</v>
      </c>
      <c r="AV56" s="417"/>
    </row>
    <row r="57" s="224" customFormat="1" ht="25" customHeight="1" spans="1:48">
      <c r="A57" s="368">
        <f t="shared" si="24"/>
        <v>54</v>
      </c>
      <c r="B57" s="378" t="s">
        <v>352</v>
      </c>
      <c r="C57" s="244" t="s">
        <v>273</v>
      </c>
      <c r="D57" s="381" t="s">
        <v>353</v>
      </c>
      <c r="E57" s="244" t="s">
        <v>49</v>
      </c>
      <c r="F57" s="244">
        <v>31</v>
      </c>
      <c r="G57" s="262">
        <v>0</v>
      </c>
      <c r="H57" s="249">
        <v>0</v>
      </c>
      <c r="I57" s="262">
        <v>0</v>
      </c>
      <c r="J57" s="249">
        <v>0</v>
      </c>
      <c r="K57" s="262">
        <v>0</v>
      </c>
      <c r="L57" s="249">
        <v>0</v>
      </c>
      <c r="M57" s="262">
        <v>0</v>
      </c>
      <c r="N57" s="249">
        <v>0</v>
      </c>
      <c r="O57" s="392" t="s">
        <v>254</v>
      </c>
      <c r="P57" s="246">
        <v>0</v>
      </c>
      <c r="Q57" s="246">
        <v>0</v>
      </c>
      <c r="R57" s="246">
        <v>0</v>
      </c>
      <c r="S57" s="306">
        <v>1700</v>
      </c>
      <c r="T57" s="307"/>
      <c r="U57" s="265">
        <f>1700/30*19</f>
        <v>1076.66666666667</v>
      </c>
      <c r="V57" s="266">
        <v>0</v>
      </c>
      <c r="W57" s="266">
        <v>0</v>
      </c>
      <c r="X57" s="266">
        <v>0</v>
      </c>
      <c r="Y57" s="266">
        <v>0</v>
      </c>
      <c r="Z57" s="266">
        <v>0</v>
      </c>
      <c r="AA57" s="266">
        <v>0</v>
      </c>
      <c r="AB57" s="347">
        <f t="shared" si="0"/>
        <v>1076.66666666667</v>
      </c>
      <c r="AC57" s="347"/>
      <c r="AD57" s="408"/>
      <c r="AE57" s="408"/>
      <c r="AF57" s="73">
        <v>0</v>
      </c>
      <c r="AG57" s="73">
        <v>0</v>
      </c>
      <c r="AH57" s="73">
        <v>0</v>
      </c>
      <c r="AI57" s="71">
        <f t="shared" si="22"/>
        <v>0</v>
      </c>
      <c r="AJ57" s="71">
        <f t="shared" si="19"/>
        <v>1076.66666666667</v>
      </c>
      <c r="AK57" s="71">
        <f t="shared" si="12"/>
        <v>0</v>
      </c>
      <c r="AL57" s="71">
        <f t="shared" si="3"/>
        <v>0</v>
      </c>
      <c r="AM57" s="71">
        <f t="shared" si="4"/>
        <v>0</v>
      </c>
      <c r="AN57" s="411"/>
      <c r="AO57" s="411"/>
      <c r="AP57" s="71"/>
      <c r="AQ57" s="422"/>
      <c r="AR57" s="71">
        <f t="shared" si="20"/>
        <v>0</v>
      </c>
      <c r="AS57" s="71">
        <f t="shared" si="21"/>
        <v>1076.66666666667</v>
      </c>
      <c r="AT57" s="423"/>
      <c r="AU57" s="416" t="s">
        <v>254</v>
      </c>
      <c r="AV57" s="417"/>
    </row>
    <row r="58" s="224" customFormat="1" ht="39" customHeight="1" spans="1:48">
      <c r="A58" s="368">
        <f t="shared" si="24"/>
        <v>55</v>
      </c>
      <c r="B58" s="378" t="s">
        <v>354</v>
      </c>
      <c r="C58" s="244" t="s">
        <v>273</v>
      </c>
      <c r="D58" s="381" t="s">
        <v>233</v>
      </c>
      <c r="E58" s="244" t="s">
        <v>49</v>
      </c>
      <c r="F58" s="244">
        <v>31</v>
      </c>
      <c r="G58" s="262">
        <v>0</v>
      </c>
      <c r="H58" s="249">
        <v>0</v>
      </c>
      <c r="I58" s="262">
        <v>0</v>
      </c>
      <c r="J58" s="249">
        <v>0</v>
      </c>
      <c r="K58" s="262">
        <v>0</v>
      </c>
      <c r="L58" s="249">
        <v>0</v>
      </c>
      <c r="M58" s="262">
        <v>0</v>
      </c>
      <c r="N58" s="249">
        <v>0</v>
      </c>
      <c r="O58" s="392" t="s">
        <v>279</v>
      </c>
      <c r="P58" s="246">
        <v>0</v>
      </c>
      <c r="Q58" s="246">
        <v>0</v>
      </c>
      <c r="R58" s="246">
        <v>0</v>
      </c>
      <c r="S58" s="306" t="s">
        <v>280</v>
      </c>
      <c r="T58" s="307"/>
      <c r="U58" s="265">
        <f>1500/31*10+1400/31*21</f>
        <v>1432.25806451613</v>
      </c>
      <c r="V58" s="266">
        <v>0</v>
      </c>
      <c r="W58" s="266">
        <v>0</v>
      </c>
      <c r="X58" s="266">
        <v>0</v>
      </c>
      <c r="Y58" s="266">
        <v>0</v>
      </c>
      <c r="Z58" s="266">
        <v>0</v>
      </c>
      <c r="AA58" s="266">
        <v>0</v>
      </c>
      <c r="AB58" s="347">
        <f t="shared" si="0"/>
        <v>1432.25806451613</v>
      </c>
      <c r="AC58" s="347"/>
      <c r="AD58" s="408"/>
      <c r="AE58" s="408"/>
      <c r="AF58" s="73">
        <v>0</v>
      </c>
      <c r="AG58" s="73">
        <v>0</v>
      </c>
      <c r="AH58" s="73">
        <v>0</v>
      </c>
      <c r="AI58" s="71">
        <f t="shared" si="22"/>
        <v>0</v>
      </c>
      <c r="AJ58" s="71">
        <f t="shared" si="19"/>
        <v>1432.25806451613</v>
      </c>
      <c r="AK58" s="71">
        <f t="shared" si="12"/>
        <v>0</v>
      </c>
      <c r="AL58" s="71">
        <f t="shared" si="3"/>
        <v>0</v>
      </c>
      <c r="AM58" s="71">
        <f t="shared" si="4"/>
        <v>0</v>
      </c>
      <c r="AN58" s="411"/>
      <c r="AO58" s="411"/>
      <c r="AP58" s="71"/>
      <c r="AQ58" s="422"/>
      <c r="AR58" s="71">
        <f t="shared" si="20"/>
        <v>0</v>
      </c>
      <c r="AS58" s="71">
        <f t="shared" si="21"/>
        <v>1432.25806451613</v>
      </c>
      <c r="AT58" s="423"/>
      <c r="AU58" s="416" t="s">
        <v>279</v>
      </c>
      <c r="AV58" s="417"/>
    </row>
    <row r="59" s="224" customFormat="1" ht="47" customHeight="1" spans="1:48">
      <c r="A59" s="368">
        <f t="shared" si="24"/>
        <v>56</v>
      </c>
      <c r="B59" s="378" t="s">
        <v>355</v>
      </c>
      <c r="C59" s="244" t="s">
        <v>273</v>
      </c>
      <c r="D59" s="381" t="s">
        <v>356</v>
      </c>
      <c r="E59" s="244" t="s">
        <v>49</v>
      </c>
      <c r="F59" s="250">
        <v>31</v>
      </c>
      <c r="G59" s="262">
        <v>0</v>
      </c>
      <c r="H59" s="249">
        <v>0</v>
      </c>
      <c r="I59" s="262">
        <v>0</v>
      </c>
      <c r="J59" s="249">
        <v>0</v>
      </c>
      <c r="K59" s="262">
        <v>0</v>
      </c>
      <c r="L59" s="249">
        <v>0</v>
      </c>
      <c r="M59" s="262">
        <v>0</v>
      </c>
      <c r="N59" s="249">
        <v>0</v>
      </c>
      <c r="O59" s="392" t="s">
        <v>279</v>
      </c>
      <c r="P59" s="246">
        <v>0</v>
      </c>
      <c r="Q59" s="246">
        <v>0</v>
      </c>
      <c r="R59" s="246">
        <v>0</v>
      </c>
      <c r="S59" s="306" t="s">
        <v>280</v>
      </c>
      <c r="T59" s="307"/>
      <c r="U59" s="265">
        <f>1500/31*10+1400/31*21</f>
        <v>1432.25806451613</v>
      </c>
      <c r="V59" s="266">
        <v>0</v>
      </c>
      <c r="W59" s="266">
        <v>0</v>
      </c>
      <c r="X59" s="266">
        <v>0</v>
      </c>
      <c r="Y59" s="266">
        <v>0</v>
      </c>
      <c r="Z59" s="266">
        <v>0</v>
      </c>
      <c r="AA59" s="266">
        <v>0</v>
      </c>
      <c r="AB59" s="347">
        <f t="shared" si="0"/>
        <v>1432.25806451613</v>
      </c>
      <c r="AC59" s="347"/>
      <c r="AD59" s="408"/>
      <c r="AE59" s="408"/>
      <c r="AF59" s="73">
        <v>0</v>
      </c>
      <c r="AG59" s="73">
        <v>0</v>
      </c>
      <c r="AH59" s="73">
        <v>0</v>
      </c>
      <c r="AI59" s="71">
        <f t="shared" si="22"/>
        <v>0</v>
      </c>
      <c r="AJ59" s="71">
        <f t="shared" si="19"/>
        <v>1432.25806451613</v>
      </c>
      <c r="AK59" s="71">
        <f t="shared" si="12"/>
        <v>0</v>
      </c>
      <c r="AL59" s="71">
        <f t="shared" si="3"/>
        <v>0</v>
      </c>
      <c r="AM59" s="71">
        <f t="shared" si="4"/>
        <v>0</v>
      </c>
      <c r="AN59" s="411"/>
      <c r="AO59" s="411"/>
      <c r="AP59" s="71"/>
      <c r="AQ59" s="422"/>
      <c r="AR59" s="71">
        <f t="shared" si="20"/>
        <v>0</v>
      </c>
      <c r="AS59" s="71">
        <f t="shared" si="21"/>
        <v>1432.25806451613</v>
      </c>
      <c r="AT59" s="423"/>
      <c r="AU59" s="416" t="s">
        <v>279</v>
      </c>
      <c r="AV59" s="417"/>
    </row>
    <row r="60" s="224" customFormat="1" ht="42" customHeight="1" spans="1:48">
      <c r="A60" s="368">
        <f t="shared" si="24"/>
        <v>57</v>
      </c>
      <c r="B60" s="378" t="s">
        <v>357</v>
      </c>
      <c r="C60" s="244" t="s">
        <v>273</v>
      </c>
      <c r="D60" s="381" t="s">
        <v>351</v>
      </c>
      <c r="E60" s="244" t="s">
        <v>49</v>
      </c>
      <c r="F60" s="244">
        <v>31</v>
      </c>
      <c r="G60" s="262">
        <v>0</v>
      </c>
      <c r="H60" s="249">
        <v>0</v>
      </c>
      <c r="I60" s="262">
        <v>0</v>
      </c>
      <c r="J60" s="249">
        <v>0</v>
      </c>
      <c r="K60" s="262">
        <v>0</v>
      </c>
      <c r="L60" s="249">
        <v>0</v>
      </c>
      <c r="M60" s="262">
        <v>0</v>
      </c>
      <c r="N60" s="249">
        <v>0</v>
      </c>
      <c r="O60" s="392" t="s">
        <v>254</v>
      </c>
      <c r="P60" s="246">
        <v>0</v>
      </c>
      <c r="Q60" s="246">
        <v>0</v>
      </c>
      <c r="R60" s="246">
        <v>0</v>
      </c>
      <c r="S60" s="306">
        <v>1700</v>
      </c>
      <c r="T60" s="307"/>
      <c r="U60" s="265">
        <v>1200</v>
      </c>
      <c r="V60" s="266">
        <v>100</v>
      </c>
      <c r="W60" s="266">
        <v>100</v>
      </c>
      <c r="X60" s="266">
        <v>50</v>
      </c>
      <c r="Y60" s="266">
        <v>50</v>
      </c>
      <c r="Z60" s="266">
        <v>100</v>
      </c>
      <c r="AA60" s="266">
        <v>100</v>
      </c>
      <c r="AB60" s="347">
        <f t="shared" si="0"/>
        <v>1700</v>
      </c>
      <c r="AC60" s="347"/>
      <c r="AD60" s="408"/>
      <c r="AE60" s="408"/>
      <c r="AF60" s="73">
        <v>0</v>
      </c>
      <c r="AG60" s="73">
        <v>0</v>
      </c>
      <c r="AH60" s="73">
        <v>0</v>
      </c>
      <c r="AI60" s="71">
        <f t="shared" si="22"/>
        <v>0</v>
      </c>
      <c r="AJ60" s="71">
        <f t="shared" si="19"/>
        <v>1700</v>
      </c>
      <c r="AK60" s="71">
        <f t="shared" si="12"/>
        <v>0</v>
      </c>
      <c r="AL60" s="71">
        <f t="shared" si="3"/>
        <v>0</v>
      </c>
      <c r="AM60" s="71">
        <f t="shared" si="4"/>
        <v>0</v>
      </c>
      <c r="AN60" s="411"/>
      <c r="AO60" s="411"/>
      <c r="AP60" s="71"/>
      <c r="AQ60" s="422"/>
      <c r="AR60" s="71">
        <f t="shared" si="20"/>
        <v>0</v>
      </c>
      <c r="AS60" s="71">
        <f t="shared" si="21"/>
        <v>1700</v>
      </c>
      <c r="AT60" s="423"/>
      <c r="AU60" s="416" t="s">
        <v>254</v>
      </c>
      <c r="AV60" s="417"/>
    </row>
    <row r="61" s="224" customFormat="1" ht="39" customHeight="1" spans="1:48">
      <c r="A61" s="368">
        <f t="shared" si="24"/>
        <v>58</v>
      </c>
      <c r="B61" s="378" t="s">
        <v>358</v>
      </c>
      <c r="C61" s="244" t="s">
        <v>267</v>
      </c>
      <c r="D61" s="381" t="s">
        <v>359</v>
      </c>
      <c r="E61" s="244" t="s">
        <v>49</v>
      </c>
      <c r="F61" s="250">
        <v>31</v>
      </c>
      <c r="G61" s="262">
        <v>0</v>
      </c>
      <c r="H61" s="249">
        <v>0</v>
      </c>
      <c r="I61" s="262">
        <v>0</v>
      </c>
      <c r="J61" s="249">
        <v>0</v>
      </c>
      <c r="K61" s="262">
        <v>0</v>
      </c>
      <c r="L61" s="249">
        <v>0</v>
      </c>
      <c r="M61" s="262">
        <v>0</v>
      </c>
      <c r="N61" s="249">
        <v>0</v>
      </c>
      <c r="O61" s="392" t="s">
        <v>254</v>
      </c>
      <c r="P61" s="246">
        <v>0</v>
      </c>
      <c r="Q61" s="246">
        <v>0</v>
      </c>
      <c r="R61" s="246">
        <v>0</v>
      </c>
      <c r="S61" s="398">
        <v>2600</v>
      </c>
      <c r="T61" s="307"/>
      <c r="U61" s="265">
        <v>1000</v>
      </c>
      <c r="V61" s="266">
        <v>900</v>
      </c>
      <c r="W61" s="266">
        <v>200</v>
      </c>
      <c r="X61" s="266">
        <v>200</v>
      </c>
      <c r="Y61" s="266">
        <v>100</v>
      </c>
      <c r="Z61" s="266">
        <v>100</v>
      </c>
      <c r="AA61" s="266">
        <v>100</v>
      </c>
      <c r="AB61" s="347">
        <f t="shared" si="0"/>
        <v>2600</v>
      </c>
      <c r="AC61" s="347"/>
      <c r="AD61" s="408"/>
      <c r="AE61" s="408"/>
      <c r="AF61" s="73">
        <v>0</v>
      </c>
      <c r="AG61" s="73">
        <v>0</v>
      </c>
      <c r="AH61" s="73">
        <v>0</v>
      </c>
      <c r="AI61" s="71">
        <f t="shared" si="22"/>
        <v>0</v>
      </c>
      <c r="AJ61" s="71">
        <f t="shared" si="19"/>
        <v>2600</v>
      </c>
      <c r="AK61" s="71">
        <f t="shared" si="12"/>
        <v>0</v>
      </c>
      <c r="AL61" s="71">
        <f t="shared" si="3"/>
        <v>0</v>
      </c>
      <c r="AM61" s="71">
        <f t="shared" si="4"/>
        <v>0</v>
      </c>
      <c r="AN61" s="411"/>
      <c r="AO61" s="411"/>
      <c r="AP61" s="71"/>
      <c r="AQ61" s="422"/>
      <c r="AR61" s="71">
        <f t="shared" si="20"/>
        <v>0</v>
      </c>
      <c r="AS61" s="71">
        <f t="shared" si="21"/>
        <v>2600</v>
      </c>
      <c r="AT61" s="423"/>
      <c r="AU61" s="416" t="s">
        <v>254</v>
      </c>
      <c r="AV61" s="417"/>
    </row>
    <row r="62" s="224" customFormat="1" ht="39" customHeight="1" spans="1:48">
      <c r="A62" s="368">
        <f t="shared" si="24"/>
        <v>59</v>
      </c>
      <c r="B62" s="382" t="s">
        <v>360</v>
      </c>
      <c r="C62" s="383" t="s">
        <v>273</v>
      </c>
      <c r="D62" s="383" t="s">
        <v>361</v>
      </c>
      <c r="E62" s="333" t="s">
        <v>65</v>
      </c>
      <c r="F62" s="384">
        <v>24</v>
      </c>
      <c r="G62" s="385"/>
      <c r="H62" s="385"/>
      <c r="I62" s="385"/>
      <c r="J62" s="385"/>
      <c r="K62" s="385"/>
      <c r="L62" s="385"/>
      <c r="M62" s="385"/>
      <c r="N62" s="385"/>
      <c r="O62" s="395" t="s">
        <v>362</v>
      </c>
      <c r="P62" s="385"/>
      <c r="Q62" s="385"/>
      <c r="R62" s="385"/>
      <c r="S62" s="399">
        <v>1700</v>
      </c>
      <c r="T62" s="307"/>
      <c r="U62" s="265">
        <f>1700/31*24</f>
        <v>1316.12903225806</v>
      </c>
      <c r="V62" s="266">
        <v>0</v>
      </c>
      <c r="W62" s="266">
        <v>0</v>
      </c>
      <c r="X62" s="266">
        <v>0</v>
      </c>
      <c r="Y62" s="266">
        <v>0</v>
      </c>
      <c r="Z62" s="266">
        <v>0</v>
      </c>
      <c r="AA62" s="266">
        <v>0</v>
      </c>
      <c r="AB62" s="347">
        <f t="shared" si="0"/>
        <v>1316.12903225806</v>
      </c>
      <c r="AC62" s="291"/>
      <c r="AD62" s="291"/>
      <c r="AE62" s="291"/>
      <c r="AF62" s="73">
        <v>0</v>
      </c>
      <c r="AG62" s="73">
        <v>0</v>
      </c>
      <c r="AH62" s="73">
        <v>0</v>
      </c>
      <c r="AI62" s="71">
        <f t="shared" si="22"/>
        <v>0</v>
      </c>
      <c r="AJ62" s="71">
        <f t="shared" si="19"/>
        <v>1316.12903225806</v>
      </c>
      <c r="AK62" s="71">
        <f t="shared" si="12"/>
        <v>0</v>
      </c>
      <c r="AL62" s="71">
        <f t="shared" si="3"/>
        <v>0</v>
      </c>
      <c r="AM62" s="71">
        <f t="shared" si="4"/>
        <v>0</v>
      </c>
      <c r="AN62" s="291"/>
      <c r="AO62" s="291"/>
      <c r="AP62" s="291"/>
      <c r="AQ62" s="291"/>
      <c r="AR62" s="71">
        <f t="shared" si="20"/>
        <v>0</v>
      </c>
      <c r="AS62" s="71">
        <f t="shared" si="21"/>
        <v>1316.12903225806</v>
      </c>
      <c r="AT62" s="303"/>
      <c r="AU62" s="416" t="s">
        <v>362</v>
      </c>
      <c r="AV62" s="417"/>
    </row>
    <row r="63" s="224" customFormat="1" ht="39" customHeight="1" spans="1:48">
      <c r="A63" s="368">
        <f t="shared" si="24"/>
        <v>60</v>
      </c>
      <c r="B63" s="382" t="s">
        <v>363</v>
      </c>
      <c r="C63" s="383" t="s">
        <v>273</v>
      </c>
      <c r="D63" s="383" t="s">
        <v>71</v>
      </c>
      <c r="E63" s="333" t="s">
        <v>65</v>
      </c>
      <c r="F63" s="384">
        <v>31</v>
      </c>
      <c r="G63" s="385"/>
      <c r="H63" s="385"/>
      <c r="I63" s="385"/>
      <c r="J63" s="385"/>
      <c r="K63" s="385"/>
      <c r="L63" s="385"/>
      <c r="M63" s="385"/>
      <c r="N63" s="385"/>
      <c r="O63" s="395" t="s">
        <v>364</v>
      </c>
      <c r="P63" s="385"/>
      <c r="Q63" s="385"/>
      <c r="R63" s="385"/>
      <c r="S63" s="399">
        <v>1700</v>
      </c>
      <c r="T63" s="307"/>
      <c r="U63" s="265">
        <v>1200</v>
      </c>
      <c r="V63" s="266">
        <v>100</v>
      </c>
      <c r="W63" s="266">
        <v>100</v>
      </c>
      <c r="X63" s="266">
        <v>50</v>
      </c>
      <c r="Y63" s="266">
        <v>50</v>
      </c>
      <c r="Z63" s="266">
        <v>100</v>
      </c>
      <c r="AA63" s="266">
        <v>100</v>
      </c>
      <c r="AB63" s="347">
        <f t="shared" si="0"/>
        <v>1700</v>
      </c>
      <c r="AC63" s="291"/>
      <c r="AD63" s="291"/>
      <c r="AE63" s="291"/>
      <c r="AF63" s="73">
        <v>0</v>
      </c>
      <c r="AG63" s="73">
        <v>0</v>
      </c>
      <c r="AH63" s="73">
        <v>0</v>
      </c>
      <c r="AI63" s="71">
        <f t="shared" si="22"/>
        <v>0</v>
      </c>
      <c r="AJ63" s="71">
        <f t="shared" si="19"/>
        <v>1700</v>
      </c>
      <c r="AK63" s="71">
        <f t="shared" si="12"/>
        <v>0</v>
      </c>
      <c r="AL63" s="71">
        <f t="shared" si="3"/>
        <v>0</v>
      </c>
      <c r="AM63" s="71">
        <f t="shared" si="4"/>
        <v>0</v>
      </c>
      <c r="AN63" s="291"/>
      <c r="AO63" s="291"/>
      <c r="AP63" s="291"/>
      <c r="AQ63" s="291"/>
      <c r="AR63" s="71">
        <f t="shared" si="20"/>
        <v>0</v>
      </c>
      <c r="AS63" s="71">
        <f t="shared" si="21"/>
        <v>1700</v>
      </c>
      <c r="AT63" s="303"/>
      <c r="AU63" s="416" t="s">
        <v>364</v>
      </c>
      <c r="AV63" s="417"/>
    </row>
    <row r="64" s="224" customFormat="1" ht="39" customHeight="1" spans="1:48">
      <c r="A64" s="368">
        <f t="shared" si="24"/>
        <v>61</v>
      </c>
      <c r="B64" s="382" t="s">
        <v>365</v>
      </c>
      <c r="C64" s="383" t="s">
        <v>267</v>
      </c>
      <c r="D64" s="383" t="s">
        <v>366</v>
      </c>
      <c r="E64" s="386" t="s">
        <v>65</v>
      </c>
      <c r="F64" s="384">
        <v>19</v>
      </c>
      <c r="G64" s="385"/>
      <c r="H64" s="385"/>
      <c r="I64" s="385"/>
      <c r="J64" s="385"/>
      <c r="K64" s="385"/>
      <c r="L64" s="385"/>
      <c r="M64" s="385"/>
      <c r="N64" s="385"/>
      <c r="O64" s="395" t="s">
        <v>367</v>
      </c>
      <c r="P64" s="385"/>
      <c r="Q64" s="385"/>
      <c r="R64" s="385"/>
      <c r="S64" s="400">
        <v>2300</v>
      </c>
      <c r="T64" s="307"/>
      <c r="U64" s="339">
        <f>2300/31*19</f>
        <v>1409.67741935484</v>
      </c>
      <c r="V64" s="339">
        <v>0</v>
      </c>
      <c r="W64" s="339">
        <v>0</v>
      </c>
      <c r="X64" s="339">
        <v>0</v>
      </c>
      <c r="Y64" s="339">
        <v>0</v>
      </c>
      <c r="Z64" s="339">
        <v>0</v>
      </c>
      <c r="AA64" s="339">
        <v>0</v>
      </c>
      <c r="AB64" s="290">
        <f t="shared" si="0"/>
        <v>1409.67741935484</v>
      </c>
      <c r="AC64" s="291"/>
      <c r="AD64" s="291"/>
      <c r="AE64" s="291"/>
      <c r="AF64" s="410">
        <v>0</v>
      </c>
      <c r="AG64" s="410">
        <v>0</v>
      </c>
      <c r="AH64" s="410">
        <v>0</v>
      </c>
      <c r="AI64" s="71">
        <f t="shared" si="22"/>
        <v>0</v>
      </c>
      <c r="AJ64" s="71">
        <f t="shared" si="19"/>
        <v>1409.67741935484</v>
      </c>
      <c r="AK64" s="351">
        <f t="shared" si="12"/>
        <v>0</v>
      </c>
      <c r="AL64" s="351">
        <f t="shared" si="3"/>
        <v>0</v>
      </c>
      <c r="AM64" s="351">
        <f t="shared" si="4"/>
        <v>0</v>
      </c>
      <c r="AN64" s="291"/>
      <c r="AO64" s="291"/>
      <c r="AP64" s="291"/>
      <c r="AQ64" s="291"/>
      <c r="AR64" s="71">
        <f t="shared" si="20"/>
        <v>0</v>
      </c>
      <c r="AS64" s="71">
        <f t="shared" si="21"/>
        <v>1409.67741935484</v>
      </c>
      <c r="AT64" s="303"/>
      <c r="AU64" s="416" t="s">
        <v>367</v>
      </c>
      <c r="AV64" s="417"/>
    </row>
    <row r="65" s="224" customFormat="1" ht="39" customHeight="1" spans="1:48">
      <c r="A65" s="368">
        <f t="shared" si="24"/>
        <v>62</v>
      </c>
      <c r="B65" s="382" t="s">
        <v>368</v>
      </c>
      <c r="C65" s="383" t="s">
        <v>267</v>
      </c>
      <c r="D65" s="383" t="s">
        <v>74</v>
      </c>
      <c r="E65" s="333" t="s">
        <v>65</v>
      </c>
      <c r="F65" s="384">
        <v>20</v>
      </c>
      <c r="G65" s="426"/>
      <c r="H65" s="426"/>
      <c r="I65" s="426"/>
      <c r="J65" s="426"/>
      <c r="K65" s="426"/>
      <c r="L65" s="426"/>
      <c r="M65" s="426"/>
      <c r="N65" s="426"/>
      <c r="O65" s="395" t="s">
        <v>369</v>
      </c>
      <c r="P65" s="426"/>
      <c r="Q65" s="426"/>
      <c r="R65" s="426"/>
      <c r="S65" s="429">
        <v>2400</v>
      </c>
      <c r="T65" s="307"/>
      <c r="U65" s="265">
        <f>2400/31*20</f>
        <v>1548.38709677419</v>
      </c>
      <c r="V65" s="266">
        <v>0</v>
      </c>
      <c r="W65" s="266">
        <v>0</v>
      </c>
      <c r="X65" s="266">
        <v>0</v>
      </c>
      <c r="Y65" s="266">
        <v>0</v>
      </c>
      <c r="Z65" s="266">
        <v>0</v>
      </c>
      <c r="AA65" s="266">
        <v>0</v>
      </c>
      <c r="AB65" s="347">
        <f t="shared" si="0"/>
        <v>1548.38709677419</v>
      </c>
      <c r="AC65" s="291"/>
      <c r="AD65" s="291"/>
      <c r="AE65" s="291"/>
      <c r="AF65" s="73">
        <v>0</v>
      </c>
      <c r="AG65" s="73">
        <v>0</v>
      </c>
      <c r="AH65" s="73">
        <v>0</v>
      </c>
      <c r="AI65" s="71">
        <f t="shared" si="22"/>
        <v>0</v>
      </c>
      <c r="AJ65" s="71">
        <f t="shared" si="19"/>
        <v>1548.38709677419</v>
      </c>
      <c r="AK65" s="71">
        <f t="shared" si="12"/>
        <v>0</v>
      </c>
      <c r="AL65" s="71">
        <f t="shared" si="3"/>
        <v>0</v>
      </c>
      <c r="AM65" s="71">
        <f t="shared" si="4"/>
        <v>0</v>
      </c>
      <c r="AN65" s="291"/>
      <c r="AO65" s="291"/>
      <c r="AP65" s="291"/>
      <c r="AQ65" s="291"/>
      <c r="AR65" s="71">
        <f t="shared" si="20"/>
        <v>0</v>
      </c>
      <c r="AS65" s="71">
        <f t="shared" si="21"/>
        <v>1548.38709677419</v>
      </c>
      <c r="AT65" s="303"/>
      <c r="AU65" s="416" t="s">
        <v>369</v>
      </c>
      <c r="AV65" s="417"/>
    </row>
    <row r="66" customHeight="1" spans="1:47">
      <c r="A66" s="368"/>
      <c r="B66" s="427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428"/>
      <c r="P66" s="291"/>
      <c r="Q66" s="291"/>
      <c r="R66" s="291"/>
      <c r="S66" s="291"/>
      <c r="T66" s="307"/>
      <c r="U66" s="291">
        <f>SUM(U4:U65)</f>
        <v>77154.0860215054</v>
      </c>
      <c r="V66" s="291">
        <f t="shared" ref="V66:AU66" si="25">SUM(V4:V65)</f>
        <v>18800</v>
      </c>
      <c r="W66" s="291">
        <f t="shared" si="25"/>
        <v>6300</v>
      </c>
      <c r="X66" s="291">
        <f t="shared" si="25"/>
        <v>5100</v>
      </c>
      <c r="Y66" s="291">
        <f t="shared" si="25"/>
        <v>3700</v>
      </c>
      <c r="Z66" s="291">
        <f t="shared" si="25"/>
        <v>3900</v>
      </c>
      <c r="AA66" s="291">
        <f t="shared" si="25"/>
        <v>4800</v>
      </c>
      <c r="AB66" s="291">
        <f t="shared" si="25"/>
        <v>119754.086021505</v>
      </c>
      <c r="AC66" s="291">
        <f t="shared" si="25"/>
        <v>2758.05</v>
      </c>
      <c r="AD66" s="291">
        <f t="shared" si="25"/>
        <v>0</v>
      </c>
      <c r="AE66" s="291">
        <f t="shared" si="25"/>
        <v>0</v>
      </c>
      <c r="AF66" s="291">
        <f t="shared" si="25"/>
        <v>0</v>
      </c>
      <c r="AG66" s="291">
        <f t="shared" si="25"/>
        <v>0</v>
      </c>
      <c r="AH66" s="291">
        <f t="shared" si="25"/>
        <v>0</v>
      </c>
      <c r="AI66" s="291">
        <f t="shared" si="25"/>
        <v>700</v>
      </c>
      <c r="AJ66" s="291">
        <f t="shared" si="25"/>
        <v>123212.136021505</v>
      </c>
      <c r="AK66" s="291">
        <f t="shared" si="25"/>
        <v>20</v>
      </c>
      <c r="AL66" s="291">
        <f t="shared" si="25"/>
        <v>1548.38709677419</v>
      </c>
      <c r="AM66" s="291">
        <f t="shared" si="25"/>
        <v>0</v>
      </c>
      <c r="AN66" s="291">
        <f t="shared" si="25"/>
        <v>0</v>
      </c>
      <c r="AO66" s="291">
        <f t="shared" si="25"/>
        <v>0</v>
      </c>
      <c r="AP66" s="291">
        <f t="shared" si="25"/>
        <v>0</v>
      </c>
      <c r="AQ66" s="291">
        <f t="shared" si="25"/>
        <v>0</v>
      </c>
      <c r="AR66" s="291">
        <f t="shared" si="25"/>
        <v>1548.38709677419</v>
      </c>
      <c r="AS66" s="291">
        <f t="shared" si="25"/>
        <v>121663.748924731</v>
      </c>
      <c r="AT66" s="291"/>
      <c r="AU66" s="291"/>
    </row>
    <row r="68" customHeight="1" spans="28:28">
      <c r="AB68" s="430" t="s">
        <v>257</v>
      </c>
    </row>
  </sheetData>
  <mergeCells count="47">
    <mergeCell ref="A1:AU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</mergeCells>
  <conditionalFormatting sqref="B39:B4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63"/>
  <sheetViews>
    <sheetView workbookViewId="0">
      <pane xSplit="6" ySplit="3" topLeftCell="AD54" activePane="bottomRight" state="frozen"/>
      <selection/>
      <selection pane="topRight"/>
      <selection pane="bottomLeft"/>
      <selection pane="bottomRight" activeCell="AT15" sqref="AT15"/>
    </sheetView>
  </sheetViews>
  <sheetFormatPr defaultColWidth="8.30833333333333" defaultRowHeight="14.25"/>
  <cols>
    <col min="1" max="1" width="6" style="229" customWidth="1"/>
    <col min="2" max="2" width="12.925" style="224" customWidth="1"/>
    <col min="3" max="4" width="12.925" style="224" hidden="1" customWidth="1"/>
    <col min="5" max="5" width="12.925" style="230" hidden="1" customWidth="1"/>
    <col min="6" max="6" width="8.25" style="224" customWidth="1"/>
    <col min="7" max="7" width="12.925" style="224" hidden="1" customWidth="1"/>
    <col min="8" max="8" width="9.80833333333333" style="224" hidden="1" customWidth="1"/>
    <col min="9" max="9" width="9.45833333333333" style="224" hidden="1" customWidth="1"/>
    <col min="10" max="10" width="11.1916666666667" style="224" hidden="1" customWidth="1"/>
    <col min="11" max="11" width="9.925" style="224" hidden="1" customWidth="1"/>
    <col min="12" max="12" width="9.11666666666667" style="224" hidden="1" customWidth="1"/>
    <col min="13" max="13" width="7.95833333333333" style="224" hidden="1" customWidth="1"/>
    <col min="14" max="14" width="9.575" style="224" hidden="1" customWidth="1"/>
    <col min="15" max="15" width="27.2333333333333" style="224" hidden="1" customWidth="1"/>
    <col min="16" max="16" width="10.9583333333333" style="224" hidden="1" customWidth="1"/>
    <col min="17" max="17" width="8.76666666666667" style="224" hidden="1" customWidth="1"/>
    <col min="18" max="18" width="10.2666666666667" style="224" hidden="1" customWidth="1"/>
    <col min="19" max="19" width="19.3833333333333" style="224" hidden="1" customWidth="1"/>
    <col min="20" max="20" width="11.625" style="224" hidden="1" customWidth="1"/>
    <col min="21" max="21" width="9.25" style="224" hidden="1" customWidth="1"/>
    <col min="22" max="23" width="10.9583333333333" style="224" hidden="1" customWidth="1"/>
    <col min="24" max="24" width="10.6166666666667" style="224" hidden="1" customWidth="1"/>
    <col min="25" max="25" width="10.7333333333333" style="224" hidden="1" customWidth="1"/>
    <col min="26" max="26" width="11.1916666666667" style="224" hidden="1" customWidth="1"/>
    <col min="27" max="27" width="10.3833333333333" style="224" hidden="1" customWidth="1"/>
    <col min="28" max="28" width="10.3833333333333" style="224" customWidth="1"/>
    <col min="29" max="29" width="9.11666666666667" style="224" customWidth="1"/>
    <col min="30" max="30" width="10.0416666666667" style="224" customWidth="1"/>
    <col min="31" max="31" width="8.65" style="224" customWidth="1"/>
    <col min="32" max="32" width="7.95833333333333" style="224" customWidth="1"/>
    <col min="33" max="33" width="8.88333333333333" style="224" customWidth="1"/>
    <col min="34" max="34" width="9" style="224" customWidth="1"/>
    <col min="35" max="36" width="10.5" style="224" customWidth="1"/>
    <col min="37" max="37" width="11.5416666666667" style="224" customWidth="1"/>
    <col min="38" max="38" width="8.625" style="224" customWidth="1"/>
    <col min="39" max="39" width="10.5" style="224" customWidth="1"/>
    <col min="40" max="40" width="8.625" style="224" customWidth="1"/>
    <col min="41" max="41" width="10.125" style="224" customWidth="1"/>
    <col min="42" max="42" width="7.875" style="224" customWidth="1"/>
    <col min="43" max="43" width="10.375" style="224" customWidth="1"/>
    <col min="44" max="44" width="12.925" style="224" customWidth="1"/>
    <col min="45" max="45" width="9.875" style="224" customWidth="1"/>
    <col min="46" max="46" width="24.375" style="224" customWidth="1"/>
    <col min="47" max="256" width="12.925" style="224" customWidth="1"/>
    <col min="257" max="16384" width="8.30833333333333" style="224"/>
  </cols>
  <sheetData>
    <row r="1" s="224" customFormat="1" ht="34" customHeight="1" spans="1:46">
      <c r="A1" s="315" t="s">
        <v>370</v>
      </c>
      <c r="B1" s="316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</row>
    <row r="2" s="224" customFormat="1" spans="1:46">
      <c r="A2" s="317" t="s">
        <v>0</v>
      </c>
      <c r="B2" s="318" t="s">
        <v>1</v>
      </c>
      <c r="C2" s="319" t="s">
        <v>2</v>
      </c>
      <c r="D2" s="319" t="s">
        <v>3</v>
      </c>
      <c r="E2" s="319" t="s">
        <v>4</v>
      </c>
      <c r="F2" s="319" t="s">
        <v>5</v>
      </c>
      <c r="G2" s="319" t="s">
        <v>203</v>
      </c>
      <c r="H2" s="319" t="s">
        <v>7</v>
      </c>
      <c r="I2" s="319" t="s">
        <v>8</v>
      </c>
      <c r="J2" s="319" t="s">
        <v>9</v>
      </c>
      <c r="K2" s="319" t="s">
        <v>10</v>
      </c>
      <c r="L2" s="319" t="s">
        <v>11</v>
      </c>
      <c r="M2" s="319" t="s">
        <v>12</v>
      </c>
      <c r="N2" s="319" t="s">
        <v>13</v>
      </c>
      <c r="O2" s="319" t="s">
        <v>14</v>
      </c>
      <c r="P2" s="319" t="s">
        <v>15</v>
      </c>
      <c r="Q2" s="319" t="s">
        <v>16</v>
      </c>
      <c r="R2" s="319" t="s">
        <v>17</v>
      </c>
      <c r="S2" s="319" t="s">
        <v>18</v>
      </c>
      <c r="T2" s="337" t="s">
        <v>95</v>
      </c>
      <c r="U2" s="319"/>
      <c r="V2" s="338" t="s">
        <v>21</v>
      </c>
      <c r="W2" s="338" t="s">
        <v>22</v>
      </c>
      <c r="X2" s="338" t="s">
        <v>23</v>
      </c>
      <c r="Y2" s="338" t="s">
        <v>24</v>
      </c>
      <c r="Z2" s="338" t="s">
        <v>25</v>
      </c>
      <c r="AA2" s="338" t="s">
        <v>26</v>
      </c>
      <c r="AB2" s="345" t="s">
        <v>28</v>
      </c>
      <c r="AC2" s="338" t="s">
        <v>96</v>
      </c>
      <c r="AD2" s="338" t="s">
        <v>30</v>
      </c>
      <c r="AE2" s="338" t="s">
        <v>98</v>
      </c>
      <c r="AF2" s="338" t="s">
        <v>31</v>
      </c>
      <c r="AG2" s="348" t="s">
        <v>33</v>
      </c>
      <c r="AH2" s="348" t="s">
        <v>34</v>
      </c>
      <c r="AI2" s="348" t="s">
        <v>35</v>
      </c>
      <c r="AJ2" s="348" t="s">
        <v>95</v>
      </c>
      <c r="AK2" s="345" t="s">
        <v>36</v>
      </c>
      <c r="AL2" s="345" t="s">
        <v>37</v>
      </c>
      <c r="AM2" s="345" t="s">
        <v>39</v>
      </c>
      <c r="AN2" s="345" t="s">
        <v>38</v>
      </c>
      <c r="AO2" s="338" t="s">
        <v>371</v>
      </c>
      <c r="AP2" s="338" t="s">
        <v>261</v>
      </c>
      <c r="AQ2" s="345" t="s">
        <v>43</v>
      </c>
      <c r="AR2" s="345" t="s">
        <v>44</v>
      </c>
      <c r="AS2" s="338" t="s">
        <v>45</v>
      </c>
      <c r="AT2" s="352" t="s">
        <v>262</v>
      </c>
    </row>
    <row r="3" s="224" customFormat="1" spans="1:46">
      <c r="A3" s="11"/>
      <c r="B3" s="320"/>
      <c r="C3" s="236"/>
      <c r="D3" s="236"/>
      <c r="E3" s="236"/>
      <c r="F3" s="236"/>
      <c r="G3" s="236"/>
      <c r="H3" s="236" t="s">
        <v>20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8"/>
      <c r="U3" s="236"/>
      <c r="V3" s="44"/>
      <c r="W3" s="44"/>
      <c r="X3" s="44"/>
      <c r="Y3" s="44"/>
      <c r="Z3" s="44"/>
      <c r="AA3" s="44"/>
      <c r="AB3" s="272"/>
      <c r="AC3" s="44"/>
      <c r="AD3" s="44"/>
      <c r="AE3" s="44"/>
      <c r="AF3" s="44"/>
      <c r="AG3" s="349"/>
      <c r="AH3" s="349"/>
      <c r="AI3" s="349"/>
      <c r="AJ3" s="349"/>
      <c r="AK3" s="272"/>
      <c r="AL3" s="272"/>
      <c r="AM3" s="272"/>
      <c r="AN3" s="272"/>
      <c r="AO3" s="44"/>
      <c r="AP3" s="44"/>
      <c r="AQ3" s="272"/>
      <c r="AR3" s="272"/>
      <c r="AS3" s="44"/>
      <c r="AT3" s="353"/>
    </row>
    <row r="4" s="226" customFormat="1" ht="30" customHeight="1" spans="1:46">
      <c r="A4" s="321">
        <f>ROW()-3</f>
        <v>1</v>
      </c>
      <c r="B4" s="322" t="s">
        <v>372</v>
      </c>
      <c r="C4" s="250" t="s">
        <v>267</v>
      </c>
      <c r="D4" s="243" t="s">
        <v>265</v>
      </c>
      <c r="E4" s="244" t="s">
        <v>49</v>
      </c>
      <c r="F4" s="250">
        <v>31</v>
      </c>
      <c r="G4" s="251">
        <v>0</v>
      </c>
      <c r="H4" s="251">
        <v>0</v>
      </c>
      <c r="I4" s="251">
        <v>0</v>
      </c>
      <c r="J4" s="251">
        <v>0</v>
      </c>
      <c r="K4" s="251">
        <v>0</v>
      </c>
      <c r="L4" s="251">
        <v>0</v>
      </c>
      <c r="M4" s="251">
        <v>0</v>
      </c>
      <c r="N4" s="251">
        <v>0</v>
      </c>
      <c r="O4" s="251" t="s">
        <v>254</v>
      </c>
      <c r="P4" s="251">
        <v>0</v>
      </c>
      <c r="Q4" s="251">
        <v>0</v>
      </c>
      <c r="R4" s="250">
        <v>0</v>
      </c>
      <c r="S4" s="269" t="s">
        <v>373</v>
      </c>
      <c r="T4" s="269"/>
      <c r="U4" s="269">
        <v>2300</v>
      </c>
      <c r="V4" s="265">
        <v>1500</v>
      </c>
      <c r="W4" s="265">
        <v>200</v>
      </c>
      <c r="X4" s="265">
        <v>100</v>
      </c>
      <c r="Y4" s="265">
        <v>100</v>
      </c>
      <c r="Z4" s="265">
        <v>200</v>
      </c>
      <c r="AA4" s="265">
        <v>200</v>
      </c>
      <c r="AB4" s="265">
        <f>SUM(V4:AA4)</f>
        <v>2300</v>
      </c>
      <c r="AC4" s="265"/>
      <c r="AD4" s="265"/>
      <c r="AE4" s="265"/>
      <c r="AF4" s="265"/>
      <c r="AG4" s="50">
        <v>0</v>
      </c>
      <c r="AH4" s="50">
        <v>0</v>
      </c>
      <c r="AI4" s="50">
        <v>0</v>
      </c>
      <c r="AJ4" s="50">
        <f>T4</f>
        <v>0</v>
      </c>
      <c r="AK4" s="50">
        <f t="shared" ref="AK4:AK59" si="0">SUM(AB4:AJ4)</f>
        <v>2300</v>
      </c>
      <c r="AL4" s="50">
        <f>I4+H4+J4/2</f>
        <v>0</v>
      </c>
      <c r="AM4" s="350">
        <f t="shared" ref="AM4:AM42" si="1">AB4/F4*AL4</f>
        <v>0</v>
      </c>
      <c r="AN4" s="50">
        <f t="shared" ref="AN4:AN47" si="2">G4*2</f>
        <v>0</v>
      </c>
      <c r="AO4" s="50">
        <v>537.4</v>
      </c>
      <c r="AP4" s="50"/>
      <c r="AQ4" s="50">
        <f>SUM(AM4:AP4)</f>
        <v>537.4</v>
      </c>
      <c r="AR4" s="50">
        <f>AK4-AQ4</f>
        <v>1762.6</v>
      </c>
      <c r="AS4" s="265"/>
      <c r="AT4" s="310" t="s">
        <v>374</v>
      </c>
    </row>
    <row r="5" s="226" customFormat="1" ht="34" customHeight="1" spans="1:46">
      <c r="A5" s="321">
        <f t="shared" ref="A5:A14" si="3">ROW()-3</f>
        <v>2</v>
      </c>
      <c r="B5" s="322" t="s">
        <v>375</v>
      </c>
      <c r="C5" s="250" t="s">
        <v>267</v>
      </c>
      <c r="D5" s="243" t="s">
        <v>265</v>
      </c>
      <c r="E5" s="244" t="s">
        <v>49</v>
      </c>
      <c r="F5" s="250">
        <v>31</v>
      </c>
      <c r="G5" s="251">
        <v>0</v>
      </c>
      <c r="H5" s="251">
        <v>0</v>
      </c>
      <c r="I5" s="251">
        <v>0</v>
      </c>
      <c r="J5" s="251">
        <v>0</v>
      </c>
      <c r="K5" s="251">
        <v>0</v>
      </c>
      <c r="L5" s="251">
        <v>0</v>
      </c>
      <c r="M5" s="251">
        <v>0</v>
      </c>
      <c r="N5" s="251">
        <v>0</v>
      </c>
      <c r="O5" s="251" t="s">
        <v>254</v>
      </c>
      <c r="P5" s="251">
        <v>0</v>
      </c>
      <c r="Q5" s="251">
        <v>0</v>
      </c>
      <c r="R5" s="250">
        <v>0</v>
      </c>
      <c r="S5" s="269" t="s">
        <v>373</v>
      </c>
      <c r="T5" s="269"/>
      <c r="U5" s="269">
        <v>2200</v>
      </c>
      <c r="V5" s="265">
        <v>1500</v>
      </c>
      <c r="W5" s="265">
        <v>100</v>
      </c>
      <c r="X5" s="265">
        <v>100</v>
      </c>
      <c r="Y5" s="265">
        <v>100</v>
      </c>
      <c r="Z5" s="265">
        <v>200</v>
      </c>
      <c r="AA5" s="265">
        <v>200</v>
      </c>
      <c r="AB5" s="265">
        <f t="shared" ref="AB5:AB36" si="4">SUM(V5:AA5)</f>
        <v>2200</v>
      </c>
      <c r="AC5" s="265"/>
      <c r="AD5" s="265"/>
      <c r="AE5" s="265"/>
      <c r="AF5" s="265"/>
      <c r="AG5" s="50">
        <v>0</v>
      </c>
      <c r="AH5" s="50">
        <v>0</v>
      </c>
      <c r="AI5" s="50">
        <v>0</v>
      </c>
      <c r="AJ5" s="50">
        <f t="shared" ref="AJ5:AJ47" si="5">T5</f>
        <v>0</v>
      </c>
      <c r="AK5" s="50">
        <f t="shared" si="0"/>
        <v>2200</v>
      </c>
      <c r="AL5" s="50">
        <f>I5+H5+J5/2</f>
        <v>0</v>
      </c>
      <c r="AM5" s="350">
        <f t="shared" si="1"/>
        <v>0</v>
      </c>
      <c r="AN5" s="50">
        <f t="shared" si="2"/>
        <v>0</v>
      </c>
      <c r="AO5" s="50">
        <v>537.4</v>
      </c>
      <c r="AP5" s="50"/>
      <c r="AQ5" s="50">
        <f t="shared" ref="AQ5:AQ36" si="6">SUM(AM5:AP5)</f>
        <v>537.4</v>
      </c>
      <c r="AR5" s="50">
        <f t="shared" ref="AR5:AR36" si="7">AK5-AQ5</f>
        <v>1662.6</v>
      </c>
      <c r="AS5" s="265"/>
      <c r="AT5" s="310" t="s">
        <v>374</v>
      </c>
    </row>
    <row r="6" s="226" customFormat="1" ht="26" customHeight="1" spans="1:46">
      <c r="A6" s="321">
        <f t="shared" si="3"/>
        <v>3</v>
      </c>
      <c r="B6" s="322" t="s">
        <v>376</v>
      </c>
      <c r="C6" s="250" t="s">
        <v>267</v>
      </c>
      <c r="D6" s="243" t="s">
        <v>265</v>
      </c>
      <c r="E6" s="244" t="s">
        <v>49</v>
      </c>
      <c r="F6" s="250">
        <v>31</v>
      </c>
      <c r="G6" s="251">
        <v>0</v>
      </c>
      <c r="H6" s="251">
        <v>0</v>
      </c>
      <c r="I6" s="251">
        <v>0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 t="s">
        <v>254</v>
      </c>
      <c r="P6" s="251">
        <v>0</v>
      </c>
      <c r="Q6" s="251">
        <v>0</v>
      </c>
      <c r="R6" s="250">
        <v>0</v>
      </c>
      <c r="S6" s="269" t="s">
        <v>373</v>
      </c>
      <c r="T6" s="269"/>
      <c r="U6" s="269">
        <v>1900</v>
      </c>
      <c r="V6" s="265">
        <v>1300</v>
      </c>
      <c r="W6" s="265">
        <v>100</v>
      </c>
      <c r="X6" s="265">
        <v>100</v>
      </c>
      <c r="Y6" s="265">
        <v>100</v>
      </c>
      <c r="Z6" s="265">
        <v>200</v>
      </c>
      <c r="AA6" s="265">
        <v>100</v>
      </c>
      <c r="AB6" s="265">
        <f t="shared" si="4"/>
        <v>1900</v>
      </c>
      <c r="AC6" s="265"/>
      <c r="AD6" s="265"/>
      <c r="AE6" s="265"/>
      <c r="AF6" s="265"/>
      <c r="AG6" s="50">
        <v>0</v>
      </c>
      <c r="AH6" s="50">
        <v>0</v>
      </c>
      <c r="AI6" s="50">
        <v>0</v>
      </c>
      <c r="AJ6" s="50">
        <f t="shared" si="5"/>
        <v>0</v>
      </c>
      <c r="AK6" s="50">
        <f t="shared" si="0"/>
        <v>1900</v>
      </c>
      <c r="AL6" s="50">
        <f>I6+H6+J6/2</f>
        <v>0</v>
      </c>
      <c r="AM6" s="350">
        <f t="shared" si="1"/>
        <v>0</v>
      </c>
      <c r="AN6" s="50">
        <f t="shared" si="2"/>
        <v>0</v>
      </c>
      <c r="AO6" s="50">
        <v>537.4</v>
      </c>
      <c r="AP6" s="50"/>
      <c r="AQ6" s="50">
        <f t="shared" si="6"/>
        <v>537.4</v>
      </c>
      <c r="AR6" s="50">
        <f t="shared" si="7"/>
        <v>1362.6</v>
      </c>
      <c r="AS6" s="265"/>
      <c r="AT6" s="310" t="s">
        <v>374</v>
      </c>
    </row>
    <row r="7" s="226" customFormat="1" ht="27" customHeight="1" spans="1:46">
      <c r="A7" s="321">
        <f t="shared" si="3"/>
        <v>4</v>
      </c>
      <c r="B7" s="255" t="s">
        <v>377</v>
      </c>
      <c r="C7" s="250" t="s">
        <v>267</v>
      </c>
      <c r="D7" s="243" t="s">
        <v>265</v>
      </c>
      <c r="E7" s="244" t="s">
        <v>49</v>
      </c>
      <c r="F7" s="250">
        <v>31</v>
      </c>
      <c r="G7" s="251">
        <v>0</v>
      </c>
      <c r="H7" s="251">
        <v>0</v>
      </c>
      <c r="I7" s="251">
        <v>0</v>
      </c>
      <c r="J7" s="251">
        <v>0</v>
      </c>
      <c r="K7" s="251">
        <v>0</v>
      </c>
      <c r="L7" s="251">
        <v>0</v>
      </c>
      <c r="M7" s="251">
        <v>0</v>
      </c>
      <c r="N7" s="251">
        <v>0</v>
      </c>
      <c r="O7" s="251" t="s">
        <v>254</v>
      </c>
      <c r="P7" s="251">
        <v>0</v>
      </c>
      <c r="Q7" s="251">
        <v>0</v>
      </c>
      <c r="R7" s="250">
        <v>0</v>
      </c>
      <c r="S7" s="269"/>
      <c r="T7" s="269"/>
      <c r="U7" s="269">
        <v>2200</v>
      </c>
      <c r="V7" s="265">
        <v>1500</v>
      </c>
      <c r="W7" s="265">
        <v>200</v>
      </c>
      <c r="X7" s="265">
        <v>100</v>
      </c>
      <c r="Y7" s="265">
        <v>100</v>
      </c>
      <c r="Z7" s="265">
        <v>100</v>
      </c>
      <c r="AA7" s="265">
        <v>200</v>
      </c>
      <c r="AB7" s="265">
        <f t="shared" si="4"/>
        <v>2200</v>
      </c>
      <c r="AC7" s="265"/>
      <c r="AD7" s="265"/>
      <c r="AE7" s="265"/>
      <c r="AF7" s="265"/>
      <c r="AG7" s="50">
        <v>0</v>
      </c>
      <c r="AH7" s="50">
        <v>0</v>
      </c>
      <c r="AI7" s="50">
        <v>0</v>
      </c>
      <c r="AJ7" s="50">
        <f t="shared" si="5"/>
        <v>0</v>
      </c>
      <c r="AK7" s="50">
        <f t="shared" si="0"/>
        <v>2200</v>
      </c>
      <c r="AL7" s="50">
        <f>I7+H7+J7/2</f>
        <v>0</v>
      </c>
      <c r="AM7" s="350">
        <f t="shared" si="1"/>
        <v>0</v>
      </c>
      <c r="AN7" s="50">
        <f t="shared" si="2"/>
        <v>0</v>
      </c>
      <c r="AO7" s="50"/>
      <c r="AP7" s="50"/>
      <c r="AQ7" s="50">
        <f t="shared" si="6"/>
        <v>0</v>
      </c>
      <c r="AR7" s="50">
        <f t="shared" si="7"/>
        <v>2200</v>
      </c>
      <c r="AS7" s="265"/>
      <c r="AT7" s="310" t="s">
        <v>254</v>
      </c>
    </row>
    <row r="8" s="224" customFormat="1" ht="45" customHeight="1" spans="1:46">
      <c r="A8" s="321">
        <f t="shared" si="3"/>
        <v>5</v>
      </c>
      <c r="B8" s="323" t="s">
        <v>378</v>
      </c>
      <c r="C8" s="270" t="s">
        <v>267</v>
      </c>
      <c r="D8" s="324" t="s">
        <v>265</v>
      </c>
      <c r="E8" s="325" t="s">
        <v>49</v>
      </c>
      <c r="F8" s="270">
        <v>31</v>
      </c>
      <c r="G8" s="246">
        <v>0</v>
      </c>
      <c r="H8" s="246"/>
      <c r="I8" s="246">
        <v>0</v>
      </c>
      <c r="J8" s="246">
        <v>0</v>
      </c>
      <c r="K8" s="246">
        <v>0</v>
      </c>
      <c r="L8" s="246">
        <v>0</v>
      </c>
      <c r="M8" s="246">
        <v>0</v>
      </c>
      <c r="N8" s="246">
        <v>0</v>
      </c>
      <c r="O8" s="246" t="s">
        <v>379</v>
      </c>
      <c r="P8" s="246">
        <v>0</v>
      </c>
      <c r="Q8" s="246">
        <v>0</v>
      </c>
      <c r="R8" s="270">
        <v>0</v>
      </c>
      <c r="S8" s="267"/>
      <c r="T8" s="267"/>
      <c r="U8" s="267">
        <v>2300</v>
      </c>
      <c r="V8" s="339">
        <v>1500</v>
      </c>
      <c r="W8" s="339">
        <v>200</v>
      </c>
      <c r="X8" s="339">
        <v>100</v>
      </c>
      <c r="Y8" s="339">
        <v>100</v>
      </c>
      <c r="Z8" s="339">
        <v>200</v>
      </c>
      <c r="AA8" s="339">
        <v>200</v>
      </c>
      <c r="AB8" s="265">
        <f t="shared" si="4"/>
        <v>2300</v>
      </c>
      <c r="AC8" s="339"/>
      <c r="AD8" s="339"/>
      <c r="AE8" s="339"/>
      <c r="AF8" s="339"/>
      <c r="AG8" s="351">
        <v>0</v>
      </c>
      <c r="AH8" s="351">
        <v>0</v>
      </c>
      <c r="AI8" s="351">
        <v>0</v>
      </c>
      <c r="AJ8" s="50">
        <f t="shared" si="5"/>
        <v>0</v>
      </c>
      <c r="AK8" s="351">
        <f t="shared" si="0"/>
        <v>2300</v>
      </c>
      <c r="AL8" s="351">
        <v>0</v>
      </c>
      <c r="AM8" s="51">
        <f t="shared" si="1"/>
        <v>0</v>
      </c>
      <c r="AN8" s="351">
        <f t="shared" si="2"/>
        <v>0</v>
      </c>
      <c r="AO8" s="351"/>
      <c r="AP8" s="351">
        <v>0</v>
      </c>
      <c r="AQ8" s="50">
        <f t="shared" si="6"/>
        <v>0</v>
      </c>
      <c r="AR8" s="50">
        <f t="shared" si="7"/>
        <v>2300</v>
      </c>
      <c r="AS8" s="339"/>
      <c r="AT8" s="310" t="s">
        <v>379</v>
      </c>
    </row>
    <row r="9" s="224" customFormat="1" ht="51" customHeight="1" spans="1:46">
      <c r="A9" s="321">
        <f t="shared" si="3"/>
        <v>6</v>
      </c>
      <c r="B9" s="326" t="s">
        <v>380</v>
      </c>
      <c r="C9" s="270" t="s">
        <v>381</v>
      </c>
      <c r="D9" s="324" t="s">
        <v>265</v>
      </c>
      <c r="E9" s="325" t="s">
        <v>49</v>
      </c>
      <c r="F9" s="270">
        <v>31</v>
      </c>
      <c r="G9" s="246">
        <v>0</v>
      </c>
      <c r="H9" s="246"/>
      <c r="I9" s="246">
        <v>0</v>
      </c>
      <c r="J9" s="246">
        <v>0</v>
      </c>
      <c r="K9" s="246">
        <v>0</v>
      </c>
      <c r="L9" s="246">
        <v>0</v>
      </c>
      <c r="M9" s="246">
        <v>0</v>
      </c>
      <c r="N9" s="246">
        <v>0</v>
      </c>
      <c r="O9" s="246" t="s">
        <v>382</v>
      </c>
      <c r="P9" s="246">
        <v>0</v>
      </c>
      <c r="Q9" s="246">
        <v>0</v>
      </c>
      <c r="R9" s="270">
        <v>0</v>
      </c>
      <c r="S9" s="267"/>
      <c r="T9" s="267">
        <v>100</v>
      </c>
      <c r="U9" s="267">
        <v>2250</v>
      </c>
      <c r="V9" s="339">
        <v>1500</v>
      </c>
      <c r="W9" s="339">
        <v>150</v>
      </c>
      <c r="X9" s="339">
        <v>200</v>
      </c>
      <c r="Y9" s="339">
        <v>200</v>
      </c>
      <c r="Z9" s="339">
        <v>200</v>
      </c>
      <c r="AA9" s="339">
        <v>0</v>
      </c>
      <c r="AB9" s="265">
        <f t="shared" si="4"/>
        <v>2250</v>
      </c>
      <c r="AC9" s="339">
        <v>600</v>
      </c>
      <c r="AD9" s="339"/>
      <c r="AE9" s="339"/>
      <c r="AF9" s="339"/>
      <c r="AG9" s="351">
        <v>0</v>
      </c>
      <c r="AH9" s="351">
        <v>0</v>
      </c>
      <c r="AI9" s="351">
        <v>0</v>
      </c>
      <c r="AJ9" s="50">
        <f t="shared" si="5"/>
        <v>100</v>
      </c>
      <c r="AK9" s="351">
        <f t="shared" si="0"/>
        <v>2950</v>
      </c>
      <c r="AL9" s="351">
        <f t="shared" ref="AL9:AL47" si="8">I9+H9+J9/2</f>
        <v>0</v>
      </c>
      <c r="AM9" s="51">
        <f t="shared" si="1"/>
        <v>0</v>
      </c>
      <c r="AN9" s="351">
        <f t="shared" si="2"/>
        <v>0</v>
      </c>
      <c r="AO9" s="351">
        <f>VLOOKUP(B:B,'[2]2025.04'!$B:$P,15,0)</f>
        <v>0</v>
      </c>
      <c r="AP9" s="351"/>
      <c r="AQ9" s="50">
        <f t="shared" si="6"/>
        <v>0</v>
      </c>
      <c r="AR9" s="50">
        <f t="shared" si="7"/>
        <v>2950</v>
      </c>
      <c r="AS9" s="339"/>
      <c r="AT9" s="310" t="s">
        <v>382</v>
      </c>
    </row>
    <row r="10" s="224" customFormat="1" ht="32" customHeight="1" spans="1:46">
      <c r="A10" s="321">
        <f t="shared" si="3"/>
        <v>7</v>
      </c>
      <c r="B10" s="326" t="s">
        <v>383</v>
      </c>
      <c r="C10" s="250" t="s">
        <v>267</v>
      </c>
      <c r="D10" s="243" t="s">
        <v>265</v>
      </c>
      <c r="E10" s="244" t="s">
        <v>49</v>
      </c>
      <c r="F10" s="270">
        <v>31</v>
      </c>
      <c r="G10" s="246">
        <v>0</v>
      </c>
      <c r="H10" s="246">
        <v>0</v>
      </c>
      <c r="I10" s="246">
        <v>0</v>
      </c>
      <c r="J10" s="251">
        <v>0</v>
      </c>
      <c r="K10" s="246">
        <v>0</v>
      </c>
      <c r="L10" s="246">
        <v>0</v>
      </c>
      <c r="M10" s="246">
        <v>0</v>
      </c>
      <c r="N10" s="246">
        <v>0</v>
      </c>
      <c r="O10" s="251" t="s">
        <v>254</v>
      </c>
      <c r="P10" s="246">
        <v>0</v>
      </c>
      <c r="Q10" s="246">
        <v>0</v>
      </c>
      <c r="R10" s="270">
        <v>0</v>
      </c>
      <c r="S10" s="340"/>
      <c r="T10" s="340"/>
      <c r="U10" s="340">
        <v>2400</v>
      </c>
      <c r="V10" s="265">
        <v>1600</v>
      </c>
      <c r="W10" s="266">
        <v>200</v>
      </c>
      <c r="X10" s="266">
        <v>100</v>
      </c>
      <c r="Y10" s="266">
        <v>100</v>
      </c>
      <c r="Z10" s="266">
        <v>200</v>
      </c>
      <c r="AA10" s="266">
        <v>200</v>
      </c>
      <c r="AB10" s="265">
        <f t="shared" si="4"/>
        <v>2400</v>
      </c>
      <c r="AC10" s="266"/>
      <c r="AD10" s="266"/>
      <c r="AE10" s="266"/>
      <c r="AF10" s="266"/>
      <c r="AG10" s="71">
        <v>0</v>
      </c>
      <c r="AH10" s="71">
        <v>0</v>
      </c>
      <c r="AI10" s="71">
        <v>0</v>
      </c>
      <c r="AJ10" s="50">
        <f t="shared" si="5"/>
        <v>0</v>
      </c>
      <c r="AK10" s="71">
        <f t="shared" si="0"/>
        <v>2400</v>
      </c>
      <c r="AL10" s="71">
        <f t="shared" si="8"/>
        <v>0</v>
      </c>
      <c r="AM10" s="91">
        <f t="shared" si="1"/>
        <v>0</v>
      </c>
      <c r="AN10" s="71">
        <f t="shared" si="2"/>
        <v>0</v>
      </c>
      <c r="AO10" s="71"/>
      <c r="AP10" s="71">
        <v>0</v>
      </c>
      <c r="AQ10" s="50">
        <f t="shared" si="6"/>
        <v>0</v>
      </c>
      <c r="AR10" s="50">
        <f t="shared" si="7"/>
        <v>2400</v>
      </c>
      <c r="AS10" s="266"/>
      <c r="AT10" s="310" t="s">
        <v>254</v>
      </c>
    </row>
    <row r="11" s="224" customFormat="1" ht="29" customHeight="1" spans="1:46">
      <c r="A11" s="321">
        <f t="shared" si="3"/>
        <v>8</v>
      </c>
      <c r="B11" s="326" t="s">
        <v>384</v>
      </c>
      <c r="C11" s="250" t="s">
        <v>273</v>
      </c>
      <c r="D11" s="243" t="s">
        <v>265</v>
      </c>
      <c r="E11" s="244" t="s">
        <v>49</v>
      </c>
      <c r="F11" s="270">
        <v>31</v>
      </c>
      <c r="G11" s="246">
        <v>0</v>
      </c>
      <c r="H11" s="246">
        <v>0</v>
      </c>
      <c r="I11" s="246">
        <v>0</v>
      </c>
      <c r="J11" s="251">
        <v>0</v>
      </c>
      <c r="K11" s="246">
        <v>0</v>
      </c>
      <c r="L11" s="246">
        <v>0</v>
      </c>
      <c r="M11" s="246">
        <v>0</v>
      </c>
      <c r="N11" s="246">
        <v>0</v>
      </c>
      <c r="O11" s="251" t="s">
        <v>254</v>
      </c>
      <c r="P11" s="246">
        <v>0</v>
      </c>
      <c r="Q11" s="246">
        <v>0</v>
      </c>
      <c r="R11" s="270">
        <v>0</v>
      </c>
      <c r="S11" s="340"/>
      <c r="T11" s="340"/>
      <c r="U11" s="340">
        <v>1600</v>
      </c>
      <c r="V11" s="265">
        <v>1000</v>
      </c>
      <c r="W11" s="266">
        <v>200</v>
      </c>
      <c r="X11" s="266">
        <v>100</v>
      </c>
      <c r="Y11" s="266">
        <v>100</v>
      </c>
      <c r="Z11" s="266">
        <v>100</v>
      </c>
      <c r="AA11" s="266">
        <v>100</v>
      </c>
      <c r="AB11" s="265">
        <f t="shared" si="4"/>
        <v>1600</v>
      </c>
      <c r="AC11" s="266"/>
      <c r="AD11" s="266"/>
      <c r="AE11" s="266"/>
      <c r="AF11" s="266"/>
      <c r="AG11" s="71">
        <v>0</v>
      </c>
      <c r="AH11" s="71">
        <v>0</v>
      </c>
      <c r="AI11" s="71">
        <v>0</v>
      </c>
      <c r="AJ11" s="50">
        <f t="shared" si="5"/>
        <v>0</v>
      </c>
      <c r="AK11" s="71">
        <f t="shared" si="0"/>
        <v>1600</v>
      </c>
      <c r="AL11" s="71">
        <f t="shared" si="8"/>
        <v>0</v>
      </c>
      <c r="AM11" s="91">
        <f t="shared" si="1"/>
        <v>0</v>
      </c>
      <c r="AN11" s="71">
        <f t="shared" si="2"/>
        <v>0</v>
      </c>
      <c r="AO11" s="71"/>
      <c r="AP11" s="71">
        <v>0</v>
      </c>
      <c r="AQ11" s="50">
        <f t="shared" si="6"/>
        <v>0</v>
      </c>
      <c r="AR11" s="50">
        <f t="shared" si="7"/>
        <v>1600</v>
      </c>
      <c r="AS11" s="266"/>
      <c r="AT11" s="310" t="s">
        <v>254</v>
      </c>
    </row>
    <row r="12" s="224" customFormat="1" ht="19" customHeight="1" spans="1:46">
      <c r="A12" s="321">
        <f t="shared" si="3"/>
        <v>9</v>
      </c>
      <c r="B12" s="326" t="s">
        <v>385</v>
      </c>
      <c r="C12" s="270" t="s">
        <v>273</v>
      </c>
      <c r="D12" s="243" t="s">
        <v>265</v>
      </c>
      <c r="E12" s="244" t="s">
        <v>49</v>
      </c>
      <c r="F12" s="270">
        <v>31</v>
      </c>
      <c r="G12" s="246">
        <v>0</v>
      </c>
      <c r="H12" s="246">
        <v>0</v>
      </c>
      <c r="I12" s="246">
        <v>0</v>
      </c>
      <c r="J12" s="251">
        <v>0</v>
      </c>
      <c r="K12" s="246">
        <v>0</v>
      </c>
      <c r="L12" s="246">
        <v>0</v>
      </c>
      <c r="M12" s="246">
        <v>0</v>
      </c>
      <c r="N12" s="246">
        <v>0</v>
      </c>
      <c r="O12" s="251" t="s">
        <v>254</v>
      </c>
      <c r="P12" s="246">
        <v>0</v>
      </c>
      <c r="Q12" s="246">
        <v>0</v>
      </c>
      <c r="R12" s="270">
        <v>0</v>
      </c>
      <c r="S12" s="340"/>
      <c r="T12" s="340"/>
      <c r="U12" s="340">
        <v>1600</v>
      </c>
      <c r="V12" s="265">
        <v>1000</v>
      </c>
      <c r="W12" s="266">
        <v>200</v>
      </c>
      <c r="X12" s="266">
        <v>100</v>
      </c>
      <c r="Y12" s="266">
        <v>100</v>
      </c>
      <c r="Z12" s="266">
        <v>100</v>
      </c>
      <c r="AA12" s="266">
        <v>100</v>
      </c>
      <c r="AB12" s="265">
        <f t="shared" si="4"/>
        <v>1600</v>
      </c>
      <c r="AC12" s="266"/>
      <c r="AD12" s="266"/>
      <c r="AE12" s="266"/>
      <c r="AF12" s="266"/>
      <c r="AG12" s="71">
        <v>0</v>
      </c>
      <c r="AH12" s="71">
        <v>0</v>
      </c>
      <c r="AI12" s="71">
        <v>0</v>
      </c>
      <c r="AJ12" s="50">
        <f t="shared" si="5"/>
        <v>0</v>
      </c>
      <c r="AK12" s="71">
        <f t="shared" si="0"/>
        <v>1600</v>
      </c>
      <c r="AL12" s="71">
        <f t="shared" si="8"/>
        <v>0</v>
      </c>
      <c r="AM12" s="91">
        <f t="shared" si="1"/>
        <v>0</v>
      </c>
      <c r="AN12" s="71">
        <f t="shared" si="2"/>
        <v>0</v>
      </c>
      <c r="AO12" s="71"/>
      <c r="AP12" s="71">
        <v>0</v>
      </c>
      <c r="AQ12" s="50">
        <f t="shared" si="6"/>
        <v>0</v>
      </c>
      <c r="AR12" s="50">
        <f t="shared" si="7"/>
        <v>1600</v>
      </c>
      <c r="AS12" s="266"/>
      <c r="AT12" s="310" t="s">
        <v>254</v>
      </c>
    </row>
    <row r="13" s="224" customFormat="1" ht="19" customHeight="1" spans="1:46">
      <c r="A13" s="321">
        <f t="shared" si="3"/>
        <v>10</v>
      </c>
      <c r="B13" s="326" t="s">
        <v>386</v>
      </c>
      <c r="C13" s="250" t="s">
        <v>273</v>
      </c>
      <c r="D13" s="243" t="s">
        <v>265</v>
      </c>
      <c r="E13" s="244" t="s">
        <v>49</v>
      </c>
      <c r="F13" s="270">
        <v>31</v>
      </c>
      <c r="G13" s="246">
        <v>0</v>
      </c>
      <c r="H13" s="246">
        <v>0</v>
      </c>
      <c r="I13" s="246">
        <v>0</v>
      </c>
      <c r="J13" s="251">
        <v>0</v>
      </c>
      <c r="K13" s="246">
        <v>0</v>
      </c>
      <c r="L13" s="246">
        <v>0</v>
      </c>
      <c r="M13" s="246">
        <v>0</v>
      </c>
      <c r="N13" s="246">
        <v>0</v>
      </c>
      <c r="O13" s="251" t="s">
        <v>254</v>
      </c>
      <c r="P13" s="246">
        <v>0</v>
      </c>
      <c r="Q13" s="246">
        <v>0</v>
      </c>
      <c r="R13" s="270">
        <v>0</v>
      </c>
      <c r="S13" s="340"/>
      <c r="T13" s="340"/>
      <c r="U13" s="340">
        <v>1600</v>
      </c>
      <c r="V13" s="265">
        <v>1000</v>
      </c>
      <c r="W13" s="266">
        <v>200</v>
      </c>
      <c r="X13" s="266">
        <v>100</v>
      </c>
      <c r="Y13" s="266">
        <v>100</v>
      </c>
      <c r="Z13" s="266">
        <v>100</v>
      </c>
      <c r="AA13" s="266">
        <v>100</v>
      </c>
      <c r="AB13" s="265">
        <f t="shared" si="4"/>
        <v>1600</v>
      </c>
      <c r="AC13" s="266"/>
      <c r="AD13" s="346"/>
      <c r="AE13" s="266"/>
      <c r="AF13" s="266"/>
      <c r="AG13" s="71">
        <v>0</v>
      </c>
      <c r="AH13" s="71">
        <v>0</v>
      </c>
      <c r="AI13" s="71">
        <v>0</v>
      </c>
      <c r="AJ13" s="50">
        <f t="shared" si="5"/>
        <v>0</v>
      </c>
      <c r="AK13" s="71">
        <f t="shared" si="0"/>
        <v>1600</v>
      </c>
      <c r="AL13" s="71">
        <f t="shared" si="8"/>
        <v>0</v>
      </c>
      <c r="AM13" s="91">
        <f t="shared" si="1"/>
        <v>0</v>
      </c>
      <c r="AN13" s="71">
        <f t="shared" si="2"/>
        <v>0</v>
      </c>
      <c r="AO13" s="71"/>
      <c r="AP13" s="92">
        <v>0</v>
      </c>
      <c r="AQ13" s="50">
        <f t="shared" si="6"/>
        <v>0</v>
      </c>
      <c r="AR13" s="50">
        <f t="shared" si="7"/>
        <v>1600</v>
      </c>
      <c r="AS13" s="266"/>
      <c r="AT13" s="310" t="s">
        <v>254</v>
      </c>
    </row>
    <row r="14" s="224" customFormat="1" ht="45" customHeight="1" spans="1:46">
      <c r="A14" s="321">
        <f t="shared" si="3"/>
        <v>11</v>
      </c>
      <c r="B14" s="327" t="s">
        <v>387</v>
      </c>
      <c r="C14" s="250" t="s">
        <v>273</v>
      </c>
      <c r="D14" s="243" t="s">
        <v>265</v>
      </c>
      <c r="E14" s="258" t="s">
        <v>107</v>
      </c>
      <c r="F14" s="270">
        <v>18</v>
      </c>
      <c r="G14" s="246">
        <v>0</v>
      </c>
      <c r="H14" s="246">
        <v>0</v>
      </c>
      <c r="I14" s="246">
        <v>0</v>
      </c>
      <c r="J14" s="251">
        <v>0</v>
      </c>
      <c r="K14" s="246">
        <v>0</v>
      </c>
      <c r="L14" s="246">
        <v>0</v>
      </c>
      <c r="M14" s="246">
        <v>0</v>
      </c>
      <c r="N14" s="246">
        <v>0</v>
      </c>
      <c r="O14" s="261" t="s">
        <v>388</v>
      </c>
      <c r="P14" s="246">
        <v>0</v>
      </c>
      <c r="Q14" s="246">
        <v>0</v>
      </c>
      <c r="R14" s="270">
        <v>0</v>
      </c>
      <c r="S14" s="340"/>
      <c r="T14" s="340">
        <v>200</v>
      </c>
      <c r="U14" s="340">
        <v>1600</v>
      </c>
      <c r="V14" s="265">
        <f>U14/31*F14</f>
        <v>929.032258064516</v>
      </c>
      <c r="W14" s="266">
        <v>0</v>
      </c>
      <c r="X14" s="266">
        <v>0</v>
      </c>
      <c r="Y14" s="266">
        <v>0</v>
      </c>
      <c r="Z14" s="266">
        <v>0</v>
      </c>
      <c r="AA14" s="266">
        <v>0</v>
      </c>
      <c r="AB14" s="265">
        <f t="shared" si="4"/>
        <v>929.032258064516</v>
      </c>
      <c r="AC14" s="266"/>
      <c r="AD14" s="346"/>
      <c r="AE14" s="266"/>
      <c r="AF14" s="266"/>
      <c r="AG14" s="71">
        <v>0</v>
      </c>
      <c r="AH14" s="71">
        <v>0</v>
      </c>
      <c r="AI14" s="71">
        <v>0</v>
      </c>
      <c r="AJ14" s="50">
        <f t="shared" si="5"/>
        <v>200</v>
      </c>
      <c r="AK14" s="71">
        <f t="shared" si="0"/>
        <v>1129.03225806452</v>
      </c>
      <c r="AL14" s="71">
        <f t="shared" si="8"/>
        <v>0</v>
      </c>
      <c r="AM14" s="91">
        <f t="shared" si="1"/>
        <v>0</v>
      </c>
      <c r="AN14" s="71">
        <f t="shared" si="2"/>
        <v>0</v>
      </c>
      <c r="AO14" s="71"/>
      <c r="AP14" s="71">
        <v>0</v>
      </c>
      <c r="AQ14" s="50">
        <f t="shared" si="6"/>
        <v>0</v>
      </c>
      <c r="AR14" s="50">
        <f t="shared" si="7"/>
        <v>1129.03225806452</v>
      </c>
      <c r="AS14" s="266"/>
      <c r="AT14" s="310" t="s">
        <v>388</v>
      </c>
    </row>
    <row r="15" s="224" customFormat="1" ht="19" customHeight="1" spans="1:46">
      <c r="A15" s="321">
        <f t="shared" ref="A15:A24" si="9">ROW()-3</f>
        <v>12</v>
      </c>
      <c r="B15" s="326" t="s">
        <v>389</v>
      </c>
      <c r="C15" s="250" t="s">
        <v>273</v>
      </c>
      <c r="D15" s="243" t="s">
        <v>265</v>
      </c>
      <c r="E15" s="244" t="s">
        <v>49</v>
      </c>
      <c r="F15" s="270">
        <v>31</v>
      </c>
      <c r="G15" s="246">
        <v>0</v>
      </c>
      <c r="H15" s="246">
        <v>0</v>
      </c>
      <c r="I15" s="246">
        <v>0</v>
      </c>
      <c r="J15" s="251">
        <v>0</v>
      </c>
      <c r="K15" s="246">
        <v>0</v>
      </c>
      <c r="L15" s="246">
        <v>0</v>
      </c>
      <c r="M15" s="246">
        <v>0</v>
      </c>
      <c r="N15" s="246">
        <v>0</v>
      </c>
      <c r="O15" s="251" t="s">
        <v>254</v>
      </c>
      <c r="P15" s="246">
        <v>0</v>
      </c>
      <c r="Q15" s="246">
        <v>0</v>
      </c>
      <c r="R15" s="270">
        <v>0</v>
      </c>
      <c r="S15" s="340"/>
      <c r="T15" s="340"/>
      <c r="U15" s="340">
        <v>1600</v>
      </c>
      <c r="V15" s="265">
        <v>1000</v>
      </c>
      <c r="W15" s="266">
        <v>200</v>
      </c>
      <c r="X15" s="266">
        <v>100</v>
      </c>
      <c r="Y15" s="266">
        <v>100</v>
      </c>
      <c r="Z15" s="266">
        <v>100</v>
      </c>
      <c r="AA15" s="266">
        <v>100</v>
      </c>
      <c r="AB15" s="265">
        <f t="shared" si="4"/>
        <v>1600</v>
      </c>
      <c r="AC15" s="266"/>
      <c r="AD15" s="346"/>
      <c r="AE15" s="266"/>
      <c r="AF15" s="266"/>
      <c r="AG15" s="71">
        <v>0</v>
      </c>
      <c r="AH15" s="71">
        <v>0</v>
      </c>
      <c r="AI15" s="71">
        <v>0</v>
      </c>
      <c r="AJ15" s="50">
        <f t="shared" si="5"/>
        <v>0</v>
      </c>
      <c r="AK15" s="71">
        <f t="shared" si="0"/>
        <v>1600</v>
      </c>
      <c r="AL15" s="71">
        <f t="shared" si="8"/>
        <v>0</v>
      </c>
      <c r="AM15" s="91">
        <f t="shared" si="1"/>
        <v>0</v>
      </c>
      <c r="AN15" s="71">
        <f t="shared" si="2"/>
        <v>0</v>
      </c>
      <c r="AO15" s="71"/>
      <c r="AP15" s="71">
        <v>0</v>
      </c>
      <c r="AQ15" s="50">
        <f t="shared" si="6"/>
        <v>0</v>
      </c>
      <c r="AR15" s="50">
        <f t="shared" si="7"/>
        <v>1600</v>
      </c>
      <c r="AS15" s="266"/>
      <c r="AT15" s="310" t="s">
        <v>254</v>
      </c>
    </row>
    <row r="16" s="224" customFormat="1" ht="19" customHeight="1" spans="1:46">
      <c r="A16" s="321">
        <f t="shared" si="9"/>
        <v>13</v>
      </c>
      <c r="B16" s="326" t="s">
        <v>390</v>
      </c>
      <c r="C16" s="250" t="s">
        <v>273</v>
      </c>
      <c r="D16" s="243" t="s">
        <v>265</v>
      </c>
      <c r="E16" s="244" t="s">
        <v>49</v>
      </c>
      <c r="F16" s="270">
        <v>31</v>
      </c>
      <c r="G16" s="246">
        <v>0</v>
      </c>
      <c r="H16" s="246">
        <v>0</v>
      </c>
      <c r="I16" s="246">
        <v>0</v>
      </c>
      <c r="J16" s="251">
        <v>0</v>
      </c>
      <c r="K16" s="246">
        <v>0</v>
      </c>
      <c r="L16" s="246">
        <v>0</v>
      </c>
      <c r="M16" s="246">
        <v>0</v>
      </c>
      <c r="N16" s="246">
        <v>0</v>
      </c>
      <c r="O16" s="251" t="s">
        <v>254</v>
      </c>
      <c r="P16" s="246">
        <v>0</v>
      </c>
      <c r="Q16" s="246">
        <v>0</v>
      </c>
      <c r="R16" s="270">
        <v>0</v>
      </c>
      <c r="S16" s="340"/>
      <c r="T16" s="340"/>
      <c r="U16" s="340">
        <v>1600</v>
      </c>
      <c r="V16" s="265">
        <v>1000</v>
      </c>
      <c r="W16" s="266">
        <v>200</v>
      </c>
      <c r="X16" s="266">
        <v>100</v>
      </c>
      <c r="Y16" s="266">
        <v>100</v>
      </c>
      <c r="Z16" s="266">
        <v>100</v>
      </c>
      <c r="AA16" s="266">
        <v>100</v>
      </c>
      <c r="AB16" s="265">
        <f t="shared" si="4"/>
        <v>1600</v>
      </c>
      <c r="AC16" s="266"/>
      <c r="AD16" s="346"/>
      <c r="AE16" s="266"/>
      <c r="AF16" s="266"/>
      <c r="AG16" s="71">
        <v>0</v>
      </c>
      <c r="AH16" s="71">
        <v>0</v>
      </c>
      <c r="AI16" s="71">
        <v>0</v>
      </c>
      <c r="AJ16" s="50">
        <f t="shared" si="5"/>
        <v>0</v>
      </c>
      <c r="AK16" s="71">
        <f t="shared" si="0"/>
        <v>1600</v>
      </c>
      <c r="AL16" s="71">
        <f t="shared" si="8"/>
        <v>0</v>
      </c>
      <c r="AM16" s="91">
        <f t="shared" si="1"/>
        <v>0</v>
      </c>
      <c r="AN16" s="71">
        <f t="shared" si="2"/>
        <v>0</v>
      </c>
      <c r="AO16" s="71"/>
      <c r="AP16" s="71">
        <v>0</v>
      </c>
      <c r="AQ16" s="50">
        <f t="shared" si="6"/>
        <v>0</v>
      </c>
      <c r="AR16" s="50">
        <f t="shared" si="7"/>
        <v>1600</v>
      </c>
      <c r="AS16" s="266"/>
      <c r="AT16" s="310" t="s">
        <v>254</v>
      </c>
    </row>
    <row r="17" s="224" customFormat="1" ht="19" customHeight="1" spans="1:46">
      <c r="A17" s="321">
        <f t="shared" si="9"/>
        <v>14</v>
      </c>
      <c r="B17" s="326" t="s">
        <v>391</v>
      </c>
      <c r="C17" s="250" t="s">
        <v>273</v>
      </c>
      <c r="D17" s="243" t="s">
        <v>265</v>
      </c>
      <c r="E17" s="244" t="s">
        <v>49</v>
      </c>
      <c r="F17" s="270">
        <v>31</v>
      </c>
      <c r="G17" s="246">
        <v>0</v>
      </c>
      <c r="H17" s="246">
        <v>0</v>
      </c>
      <c r="I17" s="246">
        <v>0</v>
      </c>
      <c r="J17" s="251">
        <v>0</v>
      </c>
      <c r="K17" s="246">
        <v>0</v>
      </c>
      <c r="L17" s="246">
        <v>0</v>
      </c>
      <c r="M17" s="246">
        <v>0</v>
      </c>
      <c r="N17" s="246">
        <v>0</v>
      </c>
      <c r="O17" s="251" t="s">
        <v>254</v>
      </c>
      <c r="P17" s="246">
        <v>0</v>
      </c>
      <c r="Q17" s="246">
        <v>0</v>
      </c>
      <c r="R17" s="270">
        <v>0</v>
      </c>
      <c r="S17" s="340"/>
      <c r="T17" s="340"/>
      <c r="U17" s="340">
        <v>1600</v>
      </c>
      <c r="V17" s="265">
        <v>1000</v>
      </c>
      <c r="W17" s="266">
        <v>200</v>
      </c>
      <c r="X17" s="266">
        <v>100</v>
      </c>
      <c r="Y17" s="266">
        <v>100</v>
      </c>
      <c r="Z17" s="266">
        <v>100</v>
      </c>
      <c r="AA17" s="266">
        <v>100</v>
      </c>
      <c r="AB17" s="265">
        <f t="shared" si="4"/>
        <v>1600</v>
      </c>
      <c r="AC17" s="266"/>
      <c r="AD17" s="346"/>
      <c r="AE17" s="266"/>
      <c r="AF17" s="266"/>
      <c r="AG17" s="71">
        <v>0</v>
      </c>
      <c r="AH17" s="71">
        <v>0</v>
      </c>
      <c r="AI17" s="71">
        <v>0</v>
      </c>
      <c r="AJ17" s="50">
        <f t="shared" si="5"/>
        <v>0</v>
      </c>
      <c r="AK17" s="71">
        <f t="shared" si="0"/>
        <v>1600</v>
      </c>
      <c r="AL17" s="71">
        <f t="shared" si="8"/>
        <v>0</v>
      </c>
      <c r="AM17" s="91">
        <f t="shared" si="1"/>
        <v>0</v>
      </c>
      <c r="AN17" s="71">
        <f t="shared" si="2"/>
        <v>0</v>
      </c>
      <c r="AO17" s="71"/>
      <c r="AP17" s="71">
        <v>0</v>
      </c>
      <c r="AQ17" s="50">
        <f t="shared" si="6"/>
        <v>0</v>
      </c>
      <c r="AR17" s="50">
        <f t="shared" si="7"/>
        <v>1600</v>
      </c>
      <c r="AS17" s="266"/>
      <c r="AT17" s="310" t="s">
        <v>254</v>
      </c>
    </row>
    <row r="18" s="224" customFormat="1" ht="19" customHeight="1" spans="1:46">
      <c r="A18" s="321">
        <f t="shared" si="9"/>
        <v>15</v>
      </c>
      <c r="B18" s="326" t="s">
        <v>392</v>
      </c>
      <c r="C18" s="250" t="s">
        <v>273</v>
      </c>
      <c r="D18" s="243" t="s">
        <v>265</v>
      </c>
      <c r="E18" s="244" t="s">
        <v>49</v>
      </c>
      <c r="F18" s="270">
        <v>31</v>
      </c>
      <c r="G18" s="246">
        <v>0</v>
      </c>
      <c r="H18" s="246">
        <v>0</v>
      </c>
      <c r="I18" s="246">
        <v>0</v>
      </c>
      <c r="J18" s="251">
        <v>0</v>
      </c>
      <c r="K18" s="246">
        <v>0</v>
      </c>
      <c r="L18" s="246">
        <v>0</v>
      </c>
      <c r="M18" s="246">
        <v>0</v>
      </c>
      <c r="N18" s="246">
        <v>0</v>
      </c>
      <c r="O18" s="251" t="s">
        <v>254</v>
      </c>
      <c r="P18" s="246">
        <v>0</v>
      </c>
      <c r="Q18" s="246">
        <v>0</v>
      </c>
      <c r="R18" s="270">
        <v>0</v>
      </c>
      <c r="S18" s="340"/>
      <c r="T18" s="340"/>
      <c r="U18" s="340">
        <v>1700</v>
      </c>
      <c r="V18" s="265">
        <v>1100</v>
      </c>
      <c r="W18" s="266">
        <v>200</v>
      </c>
      <c r="X18" s="266">
        <v>100</v>
      </c>
      <c r="Y18" s="266">
        <v>100</v>
      </c>
      <c r="Z18" s="266">
        <v>100</v>
      </c>
      <c r="AA18" s="266">
        <v>100</v>
      </c>
      <c r="AB18" s="265">
        <f t="shared" si="4"/>
        <v>1700</v>
      </c>
      <c r="AC18" s="266"/>
      <c r="AD18" s="266"/>
      <c r="AE18" s="266"/>
      <c r="AF18" s="266"/>
      <c r="AG18" s="71">
        <v>0</v>
      </c>
      <c r="AH18" s="71">
        <v>0</v>
      </c>
      <c r="AI18" s="71">
        <v>0</v>
      </c>
      <c r="AJ18" s="50">
        <f t="shared" si="5"/>
        <v>0</v>
      </c>
      <c r="AK18" s="71">
        <f t="shared" si="0"/>
        <v>1700</v>
      </c>
      <c r="AL18" s="71">
        <f t="shared" si="8"/>
        <v>0</v>
      </c>
      <c r="AM18" s="91">
        <f t="shared" si="1"/>
        <v>0</v>
      </c>
      <c r="AN18" s="71">
        <f t="shared" si="2"/>
        <v>0</v>
      </c>
      <c r="AO18" s="71"/>
      <c r="AP18" s="92">
        <v>0</v>
      </c>
      <c r="AQ18" s="50">
        <f t="shared" si="6"/>
        <v>0</v>
      </c>
      <c r="AR18" s="50">
        <f t="shared" si="7"/>
        <v>1700</v>
      </c>
      <c r="AS18" s="266"/>
      <c r="AT18" s="310" t="s">
        <v>254</v>
      </c>
    </row>
    <row r="19" s="224" customFormat="1" ht="22" customHeight="1" spans="1:46">
      <c r="A19" s="321">
        <f t="shared" si="9"/>
        <v>16</v>
      </c>
      <c r="B19" s="326" t="s">
        <v>393</v>
      </c>
      <c r="C19" s="250" t="s">
        <v>273</v>
      </c>
      <c r="D19" s="243" t="s">
        <v>265</v>
      </c>
      <c r="E19" s="244" t="s">
        <v>49</v>
      </c>
      <c r="F19" s="270">
        <v>31</v>
      </c>
      <c r="G19" s="246">
        <v>0</v>
      </c>
      <c r="H19" s="246">
        <v>0</v>
      </c>
      <c r="I19" s="246">
        <v>0</v>
      </c>
      <c r="J19" s="251">
        <v>0</v>
      </c>
      <c r="K19" s="246">
        <v>0</v>
      </c>
      <c r="L19" s="246">
        <v>0</v>
      </c>
      <c r="M19" s="246">
        <v>0</v>
      </c>
      <c r="N19" s="246">
        <v>0</v>
      </c>
      <c r="O19" s="251" t="s">
        <v>254</v>
      </c>
      <c r="P19" s="246">
        <v>0</v>
      </c>
      <c r="Q19" s="246">
        <v>0</v>
      </c>
      <c r="R19" s="270">
        <v>0</v>
      </c>
      <c r="S19" s="340"/>
      <c r="T19" s="340"/>
      <c r="U19" s="340">
        <v>1900</v>
      </c>
      <c r="V19" s="265">
        <v>1300</v>
      </c>
      <c r="W19" s="266">
        <v>100</v>
      </c>
      <c r="X19" s="266">
        <v>100</v>
      </c>
      <c r="Y19" s="266">
        <v>100</v>
      </c>
      <c r="Z19" s="266">
        <v>200</v>
      </c>
      <c r="AA19" s="266">
        <v>100</v>
      </c>
      <c r="AB19" s="265">
        <f t="shared" si="4"/>
        <v>1900</v>
      </c>
      <c r="AC19" s="266"/>
      <c r="AD19" s="266"/>
      <c r="AE19" s="266"/>
      <c r="AF19" s="266"/>
      <c r="AG19" s="71">
        <v>0</v>
      </c>
      <c r="AH19" s="71">
        <v>0</v>
      </c>
      <c r="AI19" s="71">
        <v>0</v>
      </c>
      <c r="AJ19" s="50">
        <f t="shared" si="5"/>
        <v>0</v>
      </c>
      <c r="AK19" s="71">
        <f t="shared" si="0"/>
        <v>1900</v>
      </c>
      <c r="AL19" s="71">
        <f t="shared" si="8"/>
        <v>0</v>
      </c>
      <c r="AM19" s="91">
        <f t="shared" si="1"/>
        <v>0</v>
      </c>
      <c r="AN19" s="71">
        <f t="shared" si="2"/>
        <v>0</v>
      </c>
      <c r="AO19" s="71"/>
      <c r="AP19" s="71">
        <v>0</v>
      </c>
      <c r="AQ19" s="50">
        <f t="shared" si="6"/>
        <v>0</v>
      </c>
      <c r="AR19" s="50">
        <f t="shared" si="7"/>
        <v>1900</v>
      </c>
      <c r="AS19" s="266"/>
      <c r="AT19" s="310" t="s">
        <v>254</v>
      </c>
    </row>
    <row r="20" s="224" customFormat="1" ht="18" customHeight="1" spans="1:46">
      <c r="A20" s="321">
        <f t="shared" si="9"/>
        <v>17</v>
      </c>
      <c r="B20" s="326" t="s">
        <v>394</v>
      </c>
      <c r="C20" s="250" t="s">
        <v>273</v>
      </c>
      <c r="D20" s="243" t="s">
        <v>265</v>
      </c>
      <c r="E20" s="244" t="s">
        <v>49</v>
      </c>
      <c r="F20" s="270">
        <v>31</v>
      </c>
      <c r="G20" s="246">
        <v>0</v>
      </c>
      <c r="H20" s="246">
        <v>0</v>
      </c>
      <c r="I20" s="246">
        <v>0</v>
      </c>
      <c r="J20" s="251">
        <v>0</v>
      </c>
      <c r="K20" s="246">
        <v>0</v>
      </c>
      <c r="L20" s="246">
        <v>0</v>
      </c>
      <c r="M20" s="246">
        <v>0</v>
      </c>
      <c r="N20" s="246">
        <v>0</v>
      </c>
      <c r="O20" s="251" t="s">
        <v>254</v>
      </c>
      <c r="P20" s="246">
        <v>0</v>
      </c>
      <c r="Q20" s="246">
        <v>0</v>
      </c>
      <c r="R20" s="270">
        <v>0</v>
      </c>
      <c r="S20" s="340"/>
      <c r="T20" s="340"/>
      <c r="U20" s="340">
        <v>1900</v>
      </c>
      <c r="V20" s="265">
        <v>1300</v>
      </c>
      <c r="W20" s="266">
        <v>100</v>
      </c>
      <c r="X20" s="266">
        <v>100</v>
      </c>
      <c r="Y20" s="266">
        <v>100</v>
      </c>
      <c r="Z20" s="266">
        <v>200</v>
      </c>
      <c r="AA20" s="266">
        <v>100</v>
      </c>
      <c r="AB20" s="265">
        <f t="shared" si="4"/>
        <v>1900</v>
      </c>
      <c r="AC20" s="266"/>
      <c r="AD20" s="266"/>
      <c r="AE20" s="266"/>
      <c r="AF20" s="266"/>
      <c r="AG20" s="71">
        <v>0</v>
      </c>
      <c r="AH20" s="71">
        <v>0</v>
      </c>
      <c r="AI20" s="71">
        <v>0</v>
      </c>
      <c r="AJ20" s="50">
        <f t="shared" si="5"/>
        <v>0</v>
      </c>
      <c r="AK20" s="71">
        <f t="shared" si="0"/>
        <v>1900</v>
      </c>
      <c r="AL20" s="71">
        <f t="shared" si="8"/>
        <v>0</v>
      </c>
      <c r="AM20" s="91">
        <f t="shared" si="1"/>
        <v>0</v>
      </c>
      <c r="AN20" s="71">
        <f t="shared" si="2"/>
        <v>0</v>
      </c>
      <c r="AO20" s="71"/>
      <c r="AP20" s="92">
        <v>0</v>
      </c>
      <c r="AQ20" s="50">
        <f t="shared" si="6"/>
        <v>0</v>
      </c>
      <c r="AR20" s="50">
        <f t="shared" si="7"/>
        <v>1900</v>
      </c>
      <c r="AS20" s="266"/>
      <c r="AT20" s="310" t="s">
        <v>254</v>
      </c>
    </row>
    <row r="21" s="224" customFormat="1" ht="26" customHeight="1" spans="1:46">
      <c r="A21" s="321">
        <f t="shared" si="9"/>
        <v>18</v>
      </c>
      <c r="B21" s="326" t="s">
        <v>395</v>
      </c>
      <c r="C21" s="250" t="s">
        <v>273</v>
      </c>
      <c r="D21" s="243" t="s">
        <v>265</v>
      </c>
      <c r="E21" s="244" t="s">
        <v>49</v>
      </c>
      <c r="F21" s="270">
        <v>31</v>
      </c>
      <c r="G21" s="246">
        <v>0</v>
      </c>
      <c r="H21" s="246">
        <v>0</v>
      </c>
      <c r="I21" s="246">
        <v>0</v>
      </c>
      <c r="J21" s="251">
        <v>0</v>
      </c>
      <c r="K21" s="246">
        <v>0</v>
      </c>
      <c r="L21" s="246">
        <v>0</v>
      </c>
      <c r="M21" s="246">
        <v>0</v>
      </c>
      <c r="N21" s="246">
        <v>0</v>
      </c>
      <c r="O21" s="251" t="s">
        <v>254</v>
      </c>
      <c r="P21" s="246">
        <v>0</v>
      </c>
      <c r="Q21" s="246">
        <v>0</v>
      </c>
      <c r="R21" s="270">
        <v>0</v>
      </c>
      <c r="S21" s="340"/>
      <c r="T21" s="340"/>
      <c r="U21" s="340">
        <v>1900</v>
      </c>
      <c r="V21" s="265">
        <v>1300</v>
      </c>
      <c r="W21" s="266">
        <v>100</v>
      </c>
      <c r="X21" s="266">
        <v>100</v>
      </c>
      <c r="Y21" s="266">
        <v>100</v>
      </c>
      <c r="Z21" s="266">
        <v>200</v>
      </c>
      <c r="AA21" s="266">
        <v>100</v>
      </c>
      <c r="AB21" s="265">
        <f t="shared" si="4"/>
        <v>1900</v>
      </c>
      <c r="AC21" s="266"/>
      <c r="AD21" s="266"/>
      <c r="AE21" s="266"/>
      <c r="AF21" s="266"/>
      <c r="AG21" s="71">
        <v>0</v>
      </c>
      <c r="AH21" s="71">
        <v>0</v>
      </c>
      <c r="AI21" s="71">
        <v>0</v>
      </c>
      <c r="AJ21" s="50">
        <f t="shared" si="5"/>
        <v>0</v>
      </c>
      <c r="AK21" s="71">
        <f t="shared" si="0"/>
        <v>1900</v>
      </c>
      <c r="AL21" s="71">
        <f t="shared" si="8"/>
        <v>0</v>
      </c>
      <c r="AM21" s="91">
        <f t="shared" si="1"/>
        <v>0</v>
      </c>
      <c r="AN21" s="71">
        <f t="shared" si="2"/>
        <v>0</v>
      </c>
      <c r="AO21" s="71"/>
      <c r="AP21" s="71">
        <v>0</v>
      </c>
      <c r="AQ21" s="50">
        <f t="shared" si="6"/>
        <v>0</v>
      </c>
      <c r="AR21" s="50">
        <f t="shared" si="7"/>
        <v>1900</v>
      </c>
      <c r="AS21" s="266"/>
      <c r="AT21" s="310" t="s">
        <v>254</v>
      </c>
    </row>
    <row r="22" s="224" customFormat="1" ht="35" customHeight="1" spans="1:46">
      <c r="A22" s="321">
        <f t="shared" si="9"/>
        <v>19</v>
      </c>
      <c r="B22" s="326" t="s">
        <v>396</v>
      </c>
      <c r="C22" s="250" t="s">
        <v>273</v>
      </c>
      <c r="D22" s="243" t="s">
        <v>265</v>
      </c>
      <c r="E22" s="244" t="s">
        <v>49</v>
      </c>
      <c r="F22" s="270">
        <v>31</v>
      </c>
      <c r="G22" s="246">
        <v>0</v>
      </c>
      <c r="H22" s="246">
        <v>0</v>
      </c>
      <c r="I22" s="246">
        <v>0</v>
      </c>
      <c r="J22" s="251">
        <v>0</v>
      </c>
      <c r="K22" s="246">
        <v>0</v>
      </c>
      <c r="L22" s="246">
        <v>0</v>
      </c>
      <c r="M22" s="246">
        <v>0</v>
      </c>
      <c r="N22" s="246">
        <v>0</v>
      </c>
      <c r="O22" s="251" t="s">
        <v>254</v>
      </c>
      <c r="P22" s="246">
        <v>0</v>
      </c>
      <c r="Q22" s="246">
        <v>0</v>
      </c>
      <c r="R22" s="270">
        <v>0</v>
      </c>
      <c r="S22" s="340"/>
      <c r="T22" s="340"/>
      <c r="U22" s="340">
        <v>1900</v>
      </c>
      <c r="V22" s="265">
        <v>1300</v>
      </c>
      <c r="W22" s="266">
        <v>100</v>
      </c>
      <c r="X22" s="266">
        <v>100</v>
      </c>
      <c r="Y22" s="266">
        <v>100</v>
      </c>
      <c r="Z22" s="266">
        <v>200</v>
      </c>
      <c r="AA22" s="266">
        <v>100</v>
      </c>
      <c r="AB22" s="265">
        <f t="shared" si="4"/>
        <v>1900</v>
      </c>
      <c r="AC22" s="266"/>
      <c r="AD22" s="266"/>
      <c r="AE22" s="266"/>
      <c r="AF22" s="266"/>
      <c r="AG22" s="71">
        <v>0</v>
      </c>
      <c r="AH22" s="71">
        <v>0</v>
      </c>
      <c r="AI22" s="71">
        <v>0</v>
      </c>
      <c r="AJ22" s="50">
        <f t="shared" si="5"/>
        <v>0</v>
      </c>
      <c r="AK22" s="71">
        <f t="shared" si="0"/>
        <v>1900</v>
      </c>
      <c r="AL22" s="71">
        <f t="shared" si="8"/>
        <v>0</v>
      </c>
      <c r="AM22" s="91">
        <f t="shared" si="1"/>
        <v>0</v>
      </c>
      <c r="AN22" s="71">
        <f t="shared" si="2"/>
        <v>0</v>
      </c>
      <c r="AO22" s="71"/>
      <c r="AP22" s="92">
        <v>0</v>
      </c>
      <c r="AQ22" s="50">
        <f t="shared" si="6"/>
        <v>0</v>
      </c>
      <c r="AR22" s="50">
        <f t="shared" si="7"/>
        <v>1900</v>
      </c>
      <c r="AS22" s="266"/>
      <c r="AT22" s="310" t="s">
        <v>254</v>
      </c>
    </row>
    <row r="23" s="224" customFormat="1" ht="36" customHeight="1" spans="1:46">
      <c r="A23" s="321">
        <f t="shared" si="9"/>
        <v>20</v>
      </c>
      <c r="B23" s="326" t="s">
        <v>397</v>
      </c>
      <c r="C23" s="250" t="s">
        <v>273</v>
      </c>
      <c r="D23" s="243" t="s">
        <v>265</v>
      </c>
      <c r="E23" s="244" t="s">
        <v>49</v>
      </c>
      <c r="F23" s="270">
        <v>31</v>
      </c>
      <c r="G23" s="246">
        <v>0</v>
      </c>
      <c r="H23" s="246">
        <v>0</v>
      </c>
      <c r="I23" s="246">
        <v>0</v>
      </c>
      <c r="J23" s="251">
        <v>0</v>
      </c>
      <c r="K23" s="246">
        <v>0</v>
      </c>
      <c r="L23" s="246">
        <v>0</v>
      </c>
      <c r="M23" s="246">
        <v>0</v>
      </c>
      <c r="N23" s="246">
        <v>0</v>
      </c>
      <c r="O23" s="251" t="s">
        <v>254</v>
      </c>
      <c r="P23" s="246">
        <v>0</v>
      </c>
      <c r="Q23" s="246">
        <v>0</v>
      </c>
      <c r="R23" s="270">
        <v>0</v>
      </c>
      <c r="S23" s="340"/>
      <c r="T23" s="340"/>
      <c r="U23" s="340">
        <v>1900</v>
      </c>
      <c r="V23" s="265">
        <v>1300</v>
      </c>
      <c r="W23" s="266">
        <v>100</v>
      </c>
      <c r="X23" s="266">
        <v>100</v>
      </c>
      <c r="Y23" s="266">
        <v>100</v>
      </c>
      <c r="Z23" s="266">
        <v>200</v>
      </c>
      <c r="AA23" s="266">
        <v>100</v>
      </c>
      <c r="AB23" s="265">
        <f t="shared" si="4"/>
        <v>1900</v>
      </c>
      <c r="AC23" s="266"/>
      <c r="AD23" s="266"/>
      <c r="AE23" s="266"/>
      <c r="AF23" s="266"/>
      <c r="AG23" s="71">
        <v>0</v>
      </c>
      <c r="AH23" s="71">
        <v>0</v>
      </c>
      <c r="AI23" s="71">
        <v>0</v>
      </c>
      <c r="AJ23" s="50">
        <f t="shared" si="5"/>
        <v>0</v>
      </c>
      <c r="AK23" s="71">
        <f t="shared" si="0"/>
        <v>1900</v>
      </c>
      <c r="AL23" s="71">
        <f t="shared" si="8"/>
        <v>0</v>
      </c>
      <c r="AM23" s="91">
        <f t="shared" si="1"/>
        <v>0</v>
      </c>
      <c r="AN23" s="71">
        <f t="shared" si="2"/>
        <v>0</v>
      </c>
      <c r="AO23" s="71"/>
      <c r="AP23" s="71">
        <v>0</v>
      </c>
      <c r="AQ23" s="50">
        <f t="shared" si="6"/>
        <v>0</v>
      </c>
      <c r="AR23" s="50">
        <f t="shared" si="7"/>
        <v>1900</v>
      </c>
      <c r="AS23" s="266"/>
      <c r="AT23" s="310" t="s">
        <v>254</v>
      </c>
    </row>
    <row r="24" s="224" customFormat="1" ht="51" customHeight="1" spans="1:46">
      <c r="A24" s="321">
        <f t="shared" si="9"/>
        <v>21</v>
      </c>
      <c r="B24" s="326" t="s">
        <v>398</v>
      </c>
      <c r="C24" s="250" t="s">
        <v>273</v>
      </c>
      <c r="D24" s="243" t="s">
        <v>265</v>
      </c>
      <c r="E24" s="244" t="s">
        <v>49</v>
      </c>
      <c r="F24" s="270">
        <v>31</v>
      </c>
      <c r="G24" s="246">
        <v>0</v>
      </c>
      <c r="H24" s="246">
        <v>0</v>
      </c>
      <c r="I24" s="246">
        <v>0</v>
      </c>
      <c r="J24" s="251">
        <v>0</v>
      </c>
      <c r="K24" s="246">
        <v>0</v>
      </c>
      <c r="L24" s="246">
        <v>0</v>
      </c>
      <c r="M24" s="246">
        <v>0</v>
      </c>
      <c r="N24" s="246">
        <v>0</v>
      </c>
      <c r="O24" s="251" t="s">
        <v>254</v>
      </c>
      <c r="P24" s="246">
        <v>0</v>
      </c>
      <c r="Q24" s="246">
        <v>0</v>
      </c>
      <c r="R24" s="270">
        <v>0</v>
      </c>
      <c r="S24" s="340"/>
      <c r="T24" s="340"/>
      <c r="U24" s="340">
        <v>1900</v>
      </c>
      <c r="V24" s="265">
        <v>1300</v>
      </c>
      <c r="W24" s="266">
        <v>100</v>
      </c>
      <c r="X24" s="266">
        <v>100</v>
      </c>
      <c r="Y24" s="266">
        <v>100</v>
      </c>
      <c r="Z24" s="266">
        <v>200</v>
      </c>
      <c r="AA24" s="266">
        <v>100</v>
      </c>
      <c r="AB24" s="265">
        <f t="shared" si="4"/>
        <v>1900</v>
      </c>
      <c r="AC24" s="266"/>
      <c r="AD24" s="266"/>
      <c r="AE24" s="266"/>
      <c r="AF24" s="266"/>
      <c r="AG24" s="71">
        <v>0</v>
      </c>
      <c r="AH24" s="71">
        <v>0</v>
      </c>
      <c r="AI24" s="71">
        <v>0</v>
      </c>
      <c r="AJ24" s="50">
        <f t="shared" si="5"/>
        <v>0</v>
      </c>
      <c r="AK24" s="71">
        <f t="shared" si="0"/>
        <v>1900</v>
      </c>
      <c r="AL24" s="71">
        <f t="shared" si="8"/>
        <v>0</v>
      </c>
      <c r="AM24" s="91">
        <f t="shared" si="1"/>
        <v>0</v>
      </c>
      <c r="AN24" s="71">
        <f t="shared" si="2"/>
        <v>0</v>
      </c>
      <c r="AO24" s="71"/>
      <c r="AP24" s="71">
        <v>0</v>
      </c>
      <c r="AQ24" s="50">
        <f t="shared" si="6"/>
        <v>0</v>
      </c>
      <c r="AR24" s="50">
        <f t="shared" si="7"/>
        <v>1900</v>
      </c>
      <c r="AS24" s="266"/>
      <c r="AT24" s="310" t="s">
        <v>254</v>
      </c>
    </row>
    <row r="25" s="224" customFormat="1" ht="41" customHeight="1" spans="1:46">
      <c r="A25" s="321">
        <f t="shared" ref="A25:A34" si="10">ROW()-3</f>
        <v>22</v>
      </c>
      <c r="B25" s="326" t="s">
        <v>399</v>
      </c>
      <c r="C25" s="250" t="s">
        <v>273</v>
      </c>
      <c r="D25" s="243" t="s">
        <v>265</v>
      </c>
      <c r="E25" s="244" t="s">
        <v>49</v>
      </c>
      <c r="F25" s="270">
        <v>31</v>
      </c>
      <c r="G25" s="246">
        <v>0</v>
      </c>
      <c r="H25" s="246">
        <v>0</v>
      </c>
      <c r="I25" s="246">
        <v>0</v>
      </c>
      <c r="J25" s="251">
        <v>0</v>
      </c>
      <c r="K25" s="246">
        <v>0</v>
      </c>
      <c r="L25" s="246">
        <v>0</v>
      </c>
      <c r="M25" s="246">
        <v>0</v>
      </c>
      <c r="N25" s="246">
        <v>0</v>
      </c>
      <c r="O25" s="251" t="s">
        <v>400</v>
      </c>
      <c r="P25" s="246">
        <v>0</v>
      </c>
      <c r="Q25" s="246">
        <v>0</v>
      </c>
      <c r="R25" s="270">
        <v>0</v>
      </c>
      <c r="S25" s="340"/>
      <c r="T25" s="340">
        <v>100</v>
      </c>
      <c r="U25" s="340">
        <v>1900</v>
      </c>
      <c r="V25" s="265">
        <v>1300</v>
      </c>
      <c r="W25" s="266">
        <v>100</v>
      </c>
      <c r="X25" s="266">
        <v>100</v>
      </c>
      <c r="Y25" s="266">
        <v>100</v>
      </c>
      <c r="Z25" s="266">
        <v>200</v>
      </c>
      <c r="AA25" s="266">
        <v>100</v>
      </c>
      <c r="AB25" s="265">
        <f t="shared" si="4"/>
        <v>1900</v>
      </c>
      <c r="AC25" s="266"/>
      <c r="AD25" s="266"/>
      <c r="AE25" s="266"/>
      <c r="AF25" s="266"/>
      <c r="AG25" s="71">
        <v>0</v>
      </c>
      <c r="AH25" s="71">
        <v>0</v>
      </c>
      <c r="AI25" s="71">
        <v>0</v>
      </c>
      <c r="AJ25" s="50">
        <f t="shared" si="5"/>
        <v>100</v>
      </c>
      <c r="AK25" s="71">
        <f t="shared" si="0"/>
        <v>2000</v>
      </c>
      <c r="AL25" s="71">
        <f t="shared" si="8"/>
        <v>0</v>
      </c>
      <c r="AM25" s="91">
        <f t="shared" si="1"/>
        <v>0</v>
      </c>
      <c r="AN25" s="71">
        <f t="shared" si="2"/>
        <v>0</v>
      </c>
      <c r="AO25" s="71"/>
      <c r="AP25" s="92">
        <v>0</v>
      </c>
      <c r="AQ25" s="50">
        <f t="shared" si="6"/>
        <v>0</v>
      </c>
      <c r="AR25" s="50">
        <f t="shared" si="7"/>
        <v>2000</v>
      </c>
      <c r="AS25" s="266"/>
      <c r="AT25" s="310" t="s">
        <v>400</v>
      </c>
    </row>
    <row r="26" s="224" customFormat="1" ht="40" customHeight="1" spans="1:46">
      <c r="A26" s="321">
        <f t="shared" si="10"/>
        <v>23</v>
      </c>
      <c r="B26" s="326" t="s">
        <v>401</v>
      </c>
      <c r="C26" s="250" t="s">
        <v>273</v>
      </c>
      <c r="D26" s="243" t="s">
        <v>265</v>
      </c>
      <c r="E26" s="244" t="s">
        <v>49</v>
      </c>
      <c r="F26" s="270">
        <v>31</v>
      </c>
      <c r="G26" s="246">
        <v>0</v>
      </c>
      <c r="H26" s="246">
        <v>0</v>
      </c>
      <c r="I26" s="246">
        <v>0</v>
      </c>
      <c r="J26" s="251">
        <v>0</v>
      </c>
      <c r="K26" s="246">
        <v>0</v>
      </c>
      <c r="L26" s="246">
        <v>0</v>
      </c>
      <c r="M26" s="246">
        <v>0</v>
      </c>
      <c r="N26" s="246">
        <v>0</v>
      </c>
      <c r="O26" s="251" t="s">
        <v>254</v>
      </c>
      <c r="P26" s="246">
        <v>0</v>
      </c>
      <c r="Q26" s="246">
        <v>0</v>
      </c>
      <c r="R26" s="270">
        <v>0</v>
      </c>
      <c r="S26" s="340"/>
      <c r="T26" s="340"/>
      <c r="U26" s="340">
        <v>1900</v>
      </c>
      <c r="V26" s="265">
        <v>1300</v>
      </c>
      <c r="W26" s="266">
        <v>100</v>
      </c>
      <c r="X26" s="266">
        <v>100</v>
      </c>
      <c r="Y26" s="266">
        <v>100</v>
      </c>
      <c r="Z26" s="266">
        <v>200</v>
      </c>
      <c r="AA26" s="266">
        <v>100</v>
      </c>
      <c r="AB26" s="265">
        <f t="shared" si="4"/>
        <v>1900</v>
      </c>
      <c r="AC26" s="266"/>
      <c r="AD26" s="266"/>
      <c r="AE26" s="266"/>
      <c r="AF26" s="266"/>
      <c r="AG26" s="71">
        <v>0</v>
      </c>
      <c r="AH26" s="71">
        <v>0</v>
      </c>
      <c r="AI26" s="71">
        <v>0</v>
      </c>
      <c r="AJ26" s="50">
        <f t="shared" si="5"/>
        <v>0</v>
      </c>
      <c r="AK26" s="71">
        <f t="shared" si="0"/>
        <v>1900</v>
      </c>
      <c r="AL26" s="71">
        <f t="shared" si="8"/>
        <v>0</v>
      </c>
      <c r="AM26" s="91">
        <f t="shared" si="1"/>
        <v>0</v>
      </c>
      <c r="AN26" s="71">
        <f t="shared" si="2"/>
        <v>0</v>
      </c>
      <c r="AO26" s="71"/>
      <c r="AP26" s="92">
        <v>0</v>
      </c>
      <c r="AQ26" s="50">
        <f t="shared" si="6"/>
        <v>0</v>
      </c>
      <c r="AR26" s="50">
        <f t="shared" si="7"/>
        <v>1900</v>
      </c>
      <c r="AS26" s="266"/>
      <c r="AT26" s="310" t="s">
        <v>254</v>
      </c>
    </row>
    <row r="27" s="224" customFormat="1" ht="33" customHeight="1" spans="1:46">
      <c r="A27" s="321">
        <f t="shared" si="10"/>
        <v>24</v>
      </c>
      <c r="B27" s="326" t="s">
        <v>402</v>
      </c>
      <c r="C27" s="250" t="s">
        <v>273</v>
      </c>
      <c r="D27" s="243" t="s">
        <v>265</v>
      </c>
      <c r="E27" s="244" t="s">
        <v>49</v>
      </c>
      <c r="F27" s="270">
        <v>31</v>
      </c>
      <c r="G27" s="246">
        <v>0</v>
      </c>
      <c r="H27" s="246">
        <v>0</v>
      </c>
      <c r="I27" s="246">
        <v>0</v>
      </c>
      <c r="J27" s="251">
        <v>0</v>
      </c>
      <c r="K27" s="246">
        <v>0</v>
      </c>
      <c r="L27" s="246">
        <v>0</v>
      </c>
      <c r="M27" s="246">
        <v>0</v>
      </c>
      <c r="N27" s="246">
        <v>0</v>
      </c>
      <c r="O27" s="251" t="s">
        <v>254</v>
      </c>
      <c r="P27" s="246">
        <v>0</v>
      </c>
      <c r="Q27" s="246">
        <v>0</v>
      </c>
      <c r="R27" s="270">
        <v>0</v>
      </c>
      <c r="S27" s="269"/>
      <c r="T27" s="269"/>
      <c r="U27" s="269">
        <v>1900</v>
      </c>
      <c r="V27" s="265">
        <v>1300</v>
      </c>
      <c r="W27" s="266">
        <v>100</v>
      </c>
      <c r="X27" s="266">
        <v>100</v>
      </c>
      <c r="Y27" s="266">
        <v>100</v>
      </c>
      <c r="Z27" s="266">
        <v>200</v>
      </c>
      <c r="AA27" s="266">
        <v>100</v>
      </c>
      <c r="AB27" s="265">
        <f t="shared" si="4"/>
        <v>1900</v>
      </c>
      <c r="AC27" s="266"/>
      <c r="AD27" s="266"/>
      <c r="AE27" s="266"/>
      <c r="AF27" s="266"/>
      <c r="AG27" s="71">
        <v>0</v>
      </c>
      <c r="AH27" s="71">
        <v>0</v>
      </c>
      <c r="AI27" s="71">
        <v>0</v>
      </c>
      <c r="AJ27" s="50">
        <f t="shared" si="5"/>
        <v>0</v>
      </c>
      <c r="AK27" s="71">
        <f t="shared" si="0"/>
        <v>1900</v>
      </c>
      <c r="AL27" s="71">
        <f t="shared" si="8"/>
        <v>0</v>
      </c>
      <c r="AM27" s="91">
        <f t="shared" si="1"/>
        <v>0</v>
      </c>
      <c r="AN27" s="71">
        <f t="shared" si="2"/>
        <v>0</v>
      </c>
      <c r="AO27" s="71"/>
      <c r="AP27" s="71">
        <v>0</v>
      </c>
      <c r="AQ27" s="50">
        <f t="shared" si="6"/>
        <v>0</v>
      </c>
      <c r="AR27" s="50">
        <f t="shared" si="7"/>
        <v>1900</v>
      </c>
      <c r="AS27" s="266"/>
      <c r="AT27" s="310" t="s">
        <v>254</v>
      </c>
    </row>
    <row r="28" s="224" customFormat="1" ht="33" customHeight="1" spans="1:46">
      <c r="A28" s="321">
        <f t="shared" si="10"/>
        <v>25</v>
      </c>
      <c r="B28" s="328" t="s">
        <v>403</v>
      </c>
      <c r="C28" s="250" t="s">
        <v>267</v>
      </c>
      <c r="D28" s="243" t="s">
        <v>404</v>
      </c>
      <c r="E28" s="244" t="s">
        <v>49</v>
      </c>
      <c r="F28" s="270">
        <v>31</v>
      </c>
      <c r="G28" s="246">
        <v>0</v>
      </c>
      <c r="H28" s="246">
        <v>0</v>
      </c>
      <c r="I28" s="246">
        <v>0</v>
      </c>
      <c r="J28" s="251">
        <v>0</v>
      </c>
      <c r="K28" s="246">
        <v>0</v>
      </c>
      <c r="L28" s="246">
        <v>0</v>
      </c>
      <c r="M28" s="246">
        <v>0</v>
      </c>
      <c r="N28" s="246">
        <v>0</v>
      </c>
      <c r="O28" s="251" t="s">
        <v>254</v>
      </c>
      <c r="P28" s="246">
        <v>0</v>
      </c>
      <c r="Q28" s="246">
        <v>0</v>
      </c>
      <c r="R28" s="270">
        <v>0</v>
      </c>
      <c r="S28" s="340"/>
      <c r="T28" s="340"/>
      <c r="U28" s="340">
        <v>2300</v>
      </c>
      <c r="V28" s="265">
        <v>1200</v>
      </c>
      <c r="W28" s="266">
        <v>200</v>
      </c>
      <c r="X28" s="266">
        <v>200</v>
      </c>
      <c r="Y28" s="266">
        <v>200</v>
      </c>
      <c r="Z28" s="266">
        <v>200</v>
      </c>
      <c r="AA28" s="266">
        <v>300</v>
      </c>
      <c r="AB28" s="265">
        <f t="shared" si="4"/>
        <v>2300</v>
      </c>
      <c r="AC28" s="266"/>
      <c r="AD28" s="266"/>
      <c r="AE28" s="266"/>
      <c r="AF28" s="266"/>
      <c r="AG28" s="71">
        <v>0</v>
      </c>
      <c r="AH28" s="71">
        <v>0</v>
      </c>
      <c r="AI28" s="71">
        <v>0</v>
      </c>
      <c r="AJ28" s="50">
        <f t="shared" si="5"/>
        <v>0</v>
      </c>
      <c r="AK28" s="71">
        <f t="shared" si="0"/>
        <v>2300</v>
      </c>
      <c r="AL28" s="71">
        <f t="shared" si="8"/>
        <v>0</v>
      </c>
      <c r="AM28" s="91">
        <f t="shared" si="1"/>
        <v>0</v>
      </c>
      <c r="AN28" s="71">
        <f t="shared" si="2"/>
        <v>0</v>
      </c>
      <c r="AO28" s="71"/>
      <c r="AP28" s="71">
        <v>0</v>
      </c>
      <c r="AQ28" s="50">
        <f t="shared" si="6"/>
        <v>0</v>
      </c>
      <c r="AR28" s="50">
        <f t="shared" si="7"/>
        <v>2300</v>
      </c>
      <c r="AS28" s="266"/>
      <c r="AT28" s="310" t="s">
        <v>254</v>
      </c>
    </row>
    <row r="29" s="224" customFormat="1" ht="29" customHeight="1" spans="1:46">
      <c r="A29" s="321">
        <f t="shared" si="10"/>
        <v>26</v>
      </c>
      <c r="B29" s="328" t="s">
        <v>405</v>
      </c>
      <c r="C29" s="250" t="s">
        <v>267</v>
      </c>
      <c r="D29" s="243" t="s">
        <v>406</v>
      </c>
      <c r="E29" s="244" t="s">
        <v>49</v>
      </c>
      <c r="F29" s="270">
        <v>31</v>
      </c>
      <c r="G29" s="246">
        <v>0</v>
      </c>
      <c r="H29" s="246">
        <v>0</v>
      </c>
      <c r="I29" s="246">
        <v>0</v>
      </c>
      <c r="J29" s="251">
        <v>0</v>
      </c>
      <c r="K29" s="246">
        <v>0</v>
      </c>
      <c r="L29" s="246">
        <v>0</v>
      </c>
      <c r="M29" s="246">
        <v>0</v>
      </c>
      <c r="N29" s="246">
        <v>0</v>
      </c>
      <c r="O29" s="251" t="s">
        <v>254</v>
      </c>
      <c r="P29" s="246">
        <v>0</v>
      </c>
      <c r="Q29" s="246">
        <v>0</v>
      </c>
      <c r="R29" s="270">
        <v>0</v>
      </c>
      <c r="S29" s="340"/>
      <c r="T29" s="340"/>
      <c r="U29" s="340">
        <v>2200</v>
      </c>
      <c r="V29" s="265">
        <v>1500</v>
      </c>
      <c r="W29" s="266">
        <v>200</v>
      </c>
      <c r="X29" s="266">
        <v>200</v>
      </c>
      <c r="Y29" s="266">
        <v>100</v>
      </c>
      <c r="Z29" s="266">
        <v>100</v>
      </c>
      <c r="AA29" s="266">
        <v>100</v>
      </c>
      <c r="AB29" s="265">
        <f t="shared" si="4"/>
        <v>2200</v>
      </c>
      <c r="AC29" s="266"/>
      <c r="AD29" s="346"/>
      <c r="AE29" s="266"/>
      <c r="AF29" s="266"/>
      <c r="AG29" s="71">
        <v>0</v>
      </c>
      <c r="AH29" s="71">
        <v>0</v>
      </c>
      <c r="AI29" s="71">
        <v>0</v>
      </c>
      <c r="AJ29" s="50">
        <f t="shared" si="5"/>
        <v>0</v>
      </c>
      <c r="AK29" s="71">
        <f t="shared" si="0"/>
        <v>2200</v>
      </c>
      <c r="AL29" s="71">
        <f t="shared" si="8"/>
        <v>0</v>
      </c>
      <c r="AM29" s="91">
        <f t="shared" si="1"/>
        <v>0</v>
      </c>
      <c r="AN29" s="71">
        <f t="shared" si="2"/>
        <v>0</v>
      </c>
      <c r="AO29" s="71"/>
      <c r="AP29" s="92">
        <v>0</v>
      </c>
      <c r="AQ29" s="50">
        <f t="shared" si="6"/>
        <v>0</v>
      </c>
      <c r="AR29" s="50">
        <f t="shared" si="7"/>
        <v>2200</v>
      </c>
      <c r="AS29" s="266"/>
      <c r="AT29" s="310" t="s">
        <v>254</v>
      </c>
    </row>
    <row r="30" s="224" customFormat="1" ht="28" customHeight="1" spans="1:46">
      <c r="A30" s="321">
        <f t="shared" si="10"/>
        <v>27</v>
      </c>
      <c r="B30" s="329" t="s">
        <v>407</v>
      </c>
      <c r="C30" s="250" t="s">
        <v>267</v>
      </c>
      <c r="D30" s="243" t="s">
        <v>408</v>
      </c>
      <c r="E30" s="244" t="s">
        <v>49</v>
      </c>
      <c r="F30" s="270">
        <v>31</v>
      </c>
      <c r="G30" s="246">
        <v>0</v>
      </c>
      <c r="H30" s="246">
        <v>0</v>
      </c>
      <c r="I30" s="246">
        <v>0</v>
      </c>
      <c r="J30" s="251">
        <v>0</v>
      </c>
      <c r="K30" s="246">
        <v>0</v>
      </c>
      <c r="L30" s="246">
        <v>0</v>
      </c>
      <c r="M30" s="246">
        <v>0</v>
      </c>
      <c r="N30" s="246">
        <v>0</v>
      </c>
      <c r="O30" s="251" t="s">
        <v>254</v>
      </c>
      <c r="P30" s="246">
        <v>0</v>
      </c>
      <c r="Q30" s="246">
        <v>0</v>
      </c>
      <c r="R30" s="270">
        <v>0</v>
      </c>
      <c r="S30" s="340"/>
      <c r="T30" s="340"/>
      <c r="U30" s="340">
        <v>2300</v>
      </c>
      <c r="V30" s="265">
        <v>1500</v>
      </c>
      <c r="W30" s="266">
        <v>200</v>
      </c>
      <c r="X30" s="266">
        <v>200</v>
      </c>
      <c r="Y30" s="266">
        <v>200</v>
      </c>
      <c r="Z30" s="266">
        <v>100</v>
      </c>
      <c r="AA30" s="266">
        <v>100</v>
      </c>
      <c r="AB30" s="265">
        <f t="shared" si="4"/>
        <v>2300</v>
      </c>
      <c r="AC30" s="266"/>
      <c r="AD30" s="346"/>
      <c r="AE30" s="266"/>
      <c r="AF30" s="266"/>
      <c r="AG30" s="71">
        <v>0</v>
      </c>
      <c r="AH30" s="71">
        <v>0</v>
      </c>
      <c r="AI30" s="71">
        <v>0</v>
      </c>
      <c r="AJ30" s="50">
        <f t="shared" si="5"/>
        <v>0</v>
      </c>
      <c r="AK30" s="71">
        <f t="shared" si="0"/>
        <v>2300</v>
      </c>
      <c r="AL30" s="71">
        <f t="shared" si="8"/>
        <v>0</v>
      </c>
      <c r="AM30" s="91">
        <f t="shared" si="1"/>
        <v>0</v>
      </c>
      <c r="AN30" s="71">
        <f t="shared" si="2"/>
        <v>0</v>
      </c>
      <c r="AO30" s="71"/>
      <c r="AP30" s="71">
        <v>0</v>
      </c>
      <c r="AQ30" s="50">
        <f t="shared" si="6"/>
        <v>0</v>
      </c>
      <c r="AR30" s="50">
        <f t="shared" si="7"/>
        <v>2300</v>
      </c>
      <c r="AS30" s="266"/>
      <c r="AT30" s="310" t="s">
        <v>254</v>
      </c>
    </row>
    <row r="31" s="224" customFormat="1" ht="47" customHeight="1" spans="1:46">
      <c r="A31" s="321">
        <f t="shared" si="10"/>
        <v>28</v>
      </c>
      <c r="B31" s="329" t="s">
        <v>409</v>
      </c>
      <c r="C31" s="250" t="s">
        <v>267</v>
      </c>
      <c r="D31" s="243" t="s">
        <v>410</v>
      </c>
      <c r="E31" s="244" t="s">
        <v>49</v>
      </c>
      <c r="F31" s="270">
        <v>31</v>
      </c>
      <c r="G31" s="246">
        <v>0</v>
      </c>
      <c r="H31" s="246">
        <v>7</v>
      </c>
      <c r="I31" s="246">
        <v>0</v>
      </c>
      <c r="J31" s="251">
        <v>0</v>
      </c>
      <c r="K31" s="246">
        <v>0</v>
      </c>
      <c r="L31" s="246">
        <v>0</v>
      </c>
      <c r="M31" s="246">
        <v>0</v>
      </c>
      <c r="N31" s="246">
        <v>0</v>
      </c>
      <c r="O31" s="251" t="s">
        <v>411</v>
      </c>
      <c r="P31" s="246">
        <v>0</v>
      </c>
      <c r="Q31" s="246">
        <v>0</v>
      </c>
      <c r="R31" s="270">
        <v>0</v>
      </c>
      <c r="S31" s="340"/>
      <c r="T31" s="340">
        <v>100</v>
      </c>
      <c r="U31" s="340">
        <v>2300</v>
      </c>
      <c r="V31" s="265">
        <v>1500</v>
      </c>
      <c r="W31" s="266">
        <v>200</v>
      </c>
      <c r="X31" s="266">
        <v>200</v>
      </c>
      <c r="Y31" s="266">
        <v>200</v>
      </c>
      <c r="Z31" s="266">
        <v>100</v>
      </c>
      <c r="AA31" s="266">
        <v>100</v>
      </c>
      <c r="AB31" s="265">
        <f t="shared" si="4"/>
        <v>2300</v>
      </c>
      <c r="AC31" s="266"/>
      <c r="AD31" s="346"/>
      <c r="AE31" s="266"/>
      <c r="AF31" s="266"/>
      <c r="AG31" s="71">
        <v>0</v>
      </c>
      <c r="AH31" s="71">
        <v>0</v>
      </c>
      <c r="AI31" s="71">
        <v>0</v>
      </c>
      <c r="AJ31" s="50">
        <f t="shared" si="5"/>
        <v>100</v>
      </c>
      <c r="AK31" s="71">
        <f t="shared" si="0"/>
        <v>2400</v>
      </c>
      <c r="AL31" s="71">
        <f t="shared" si="8"/>
        <v>7</v>
      </c>
      <c r="AM31" s="91">
        <f t="shared" si="1"/>
        <v>519.354838709677</v>
      </c>
      <c r="AN31" s="71">
        <f t="shared" si="2"/>
        <v>0</v>
      </c>
      <c r="AO31" s="71"/>
      <c r="AP31" s="92">
        <v>0</v>
      </c>
      <c r="AQ31" s="50">
        <f t="shared" si="6"/>
        <v>519.354838709677</v>
      </c>
      <c r="AR31" s="50">
        <f t="shared" si="7"/>
        <v>1880.64516129032</v>
      </c>
      <c r="AS31" s="266"/>
      <c r="AT31" s="310" t="s">
        <v>411</v>
      </c>
    </row>
    <row r="32" s="224" customFormat="1" ht="39" customHeight="1" spans="1:46">
      <c r="A32" s="321">
        <f t="shared" si="10"/>
        <v>29</v>
      </c>
      <c r="B32" s="330" t="s">
        <v>412</v>
      </c>
      <c r="C32" s="250" t="s">
        <v>267</v>
      </c>
      <c r="D32" s="243" t="s">
        <v>413</v>
      </c>
      <c r="E32" s="331" t="s">
        <v>49</v>
      </c>
      <c r="F32" s="270">
        <v>31</v>
      </c>
      <c r="G32" s="246">
        <v>0</v>
      </c>
      <c r="H32" s="246">
        <v>15</v>
      </c>
      <c r="I32" s="246">
        <v>0</v>
      </c>
      <c r="J32" s="251">
        <v>0</v>
      </c>
      <c r="K32" s="246">
        <v>0</v>
      </c>
      <c r="L32" s="246">
        <v>0</v>
      </c>
      <c r="M32" s="246">
        <v>0</v>
      </c>
      <c r="N32" s="246">
        <v>0</v>
      </c>
      <c r="O32" s="251" t="s">
        <v>414</v>
      </c>
      <c r="P32" s="246">
        <v>0</v>
      </c>
      <c r="Q32" s="246">
        <v>0</v>
      </c>
      <c r="R32" s="270">
        <v>0</v>
      </c>
      <c r="S32" s="340"/>
      <c r="T32" s="340"/>
      <c r="U32" s="340">
        <v>2300</v>
      </c>
      <c r="V32" s="265">
        <v>1500</v>
      </c>
      <c r="W32" s="266">
        <v>200</v>
      </c>
      <c r="X32" s="266">
        <v>200</v>
      </c>
      <c r="Y32" s="266">
        <v>200</v>
      </c>
      <c r="Z32" s="266">
        <v>100</v>
      </c>
      <c r="AA32" s="266">
        <v>100</v>
      </c>
      <c r="AB32" s="265">
        <f t="shared" si="4"/>
        <v>2300</v>
      </c>
      <c r="AC32" s="266"/>
      <c r="AD32" s="346"/>
      <c r="AE32" s="266"/>
      <c r="AF32" s="266"/>
      <c r="AG32" s="71">
        <v>0</v>
      </c>
      <c r="AH32" s="71">
        <v>0</v>
      </c>
      <c r="AI32" s="71">
        <v>0</v>
      </c>
      <c r="AJ32" s="50">
        <f t="shared" si="5"/>
        <v>0</v>
      </c>
      <c r="AK32" s="71">
        <f t="shared" si="0"/>
        <v>2300</v>
      </c>
      <c r="AL32" s="71">
        <f t="shared" si="8"/>
        <v>15</v>
      </c>
      <c r="AM32" s="91">
        <f t="shared" si="1"/>
        <v>1112.90322580645</v>
      </c>
      <c r="AN32" s="71">
        <f t="shared" si="2"/>
        <v>0</v>
      </c>
      <c r="AO32" s="71"/>
      <c r="AP32" s="71">
        <v>0</v>
      </c>
      <c r="AQ32" s="50">
        <f t="shared" si="6"/>
        <v>1112.90322580645</v>
      </c>
      <c r="AR32" s="50">
        <f t="shared" si="7"/>
        <v>1187.09677419355</v>
      </c>
      <c r="AS32" s="266"/>
      <c r="AT32" s="310" t="s">
        <v>414</v>
      </c>
    </row>
    <row r="33" s="224" customFormat="1" ht="36" customHeight="1" spans="1:46">
      <c r="A33" s="321">
        <f t="shared" si="10"/>
        <v>30</v>
      </c>
      <c r="B33" s="328" t="s">
        <v>415</v>
      </c>
      <c r="C33" s="250" t="s">
        <v>273</v>
      </c>
      <c r="D33" s="243" t="s">
        <v>416</v>
      </c>
      <c r="E33" s="244" t="s">
        <v>417</v>
      </c>
      <c r="F33" s="270">
        <v>31</v>
      </c>
      <c r="G33" s="246">
        <v>0</v>
      </c>
      <c r="H33" s="246"/>
      <c r="I33" s="246">
        <v>0</v>
      </c>
      <c r="J33" s="251">
        <v>0</v>
      </c>
      <c r="K33" s="246">
        <v>0</v>
      </c>
      <c r="L33" s="246">
        <v>0</v>
      </c>
      <c r="M33" s="246">
        <v>0</v>
      </c>
      <c r="N33" s="246">
        <v>0</v>
      </c>
      <c r="O33" s="251" t="s">
        <v>254</v>
      </c>
      <c r="P33" s="246">
        <v>0</v>
      </c>
      <c r="Q33" s="246">
        <v>0</v>
      </c>
      <c r="R33" s="270">
        <v>0</v>
      </c>
      <c r="S33" s="340"/>
      <c r="T33" s="340"/>
      <c r="U33" s="340">
        <v>1600</v>
      </c>
      <c r="V33" s="265">
        <v>1000</v>
      </c>
      <c r="W33" s="266">
        <v>100</v>
      </c>
      <c r="X33" s="266">
        <v>100</v>
      </c>
      <c r="Y33" s="266">
        <v>100</v>
      </c>
      <c r="Z33" s="266">
        <v>200</v>
      </c>
      <c r="AA33" s="266">
        <v>100</v>
      </c>
      <c r="AB33" s="265">
        <f t="shared" si="4"/>
        <v>1600</v>
      </c>
      <c r="AC33" s="347"/>
      <c r="AD33" s="266"/>
      <c r="AE33" s="266"/>
      <c r="AF33" s="266"/>
      <c r="AG33" s="71">
        <v>0</v>
      </c>
      <c r="AH33" s="71">
        <v>0</v>
      </c>
      <c r="AI33" s="71">
        <v>0</v>
      </c>
      <c r="AJ33" s="50">
        <f t="shared" si="5"/>
        <v>0</v>
      </c>
      <c r="AK33" s="71">
        <f t="shared" si="0"/>
        <v>1600</v>
      </c>
      <c r="AL33" s="71">
        <f t="shared" si="8"/>
        <v>0</v>
      </c>
      <c r="AM33" s="91">
        <f t="shared" si="1"/>
        <v>0</v>
      </c>
      <c r="AN33" s="71">
        <f t="shared" si="2"/>
        <v>0</v>
      </c>
      <c r="AO33" s="71"/>
      <c r="AP33" s="92">
        <v>0</v>
      </c>
      <c r="AQ33" s="50">
        <f t="shared" si="6"/>
        <v>0</v>
      </c>
      <c r="AR33" s="50">
        <f t="shared" si="7"/>
        <v>1600</v>
      </c>
      <c r="AS33" s="266"/>
      <c r="AT33" s="310" t="s">
        <v>254</v>
      </c>
    </row>
    <row r="34" s="224" customFormat="1" ht="32" customHeight="1" spans="1:46">
      <c r="A34" s="321">
        <f t="shared" si="10"/>
        <v>31</v>
      </c>
      <c r="B34" s="328" t="s">
        <v>418</v>
      </c>
      <c r="C34" s="250" t="s">
        <v>267</v>
      </c>
      <c r="D34" s="243" t="s">
        <v>419</v>
      </c>
      <c r="E34" s="244" t="s">
        <v>49</v>
      </c>
      <c r="F34" s="270">
        <v>31</v>
      </c>
      <c r="G34" s="246">
        <v>0</v>
      </c>
      <c r="H34" s="246"/>
      <c r="I34" s="246">
        <v>0</v>
      </c>
      <c r="J34" s="251">
        <v>0</v>
      </c>
      <c r="K34" s="246">
        <v>0</v>
      </c>
      <c r="L34" s="246">
        <v>0</v>
      </c>
      <c r="M34" s="246">
        <v>0</v>
      </c>
      <c r="N34" s="246">
        <v>0</v>
      </c>
      <c r="O34" s="251" t="s">
        <v>254</v>
      </c>
      <c r="P34" s="246">
        <v>0</v>
      </c>
      <c r="Q34" s="246">
        <v>0</v>
      </c>
      <c r="R34" s="270">
        <v>0</v>
      </c>
      <c r="S34" s="340"/>
      <c r="T34" s="340"/>
      <c r="U34" s="340">
        <v>2300</v>
      </c>
      <c r="V34" s="265">
        <v>1500</v>
      </c>
      <c r="W34" s="266">
        <v>200</v>
      </c>
      <c r="X34" s="266">
        <v>200</v>
      </c>
      <c r="Y34" s="266">
        <v>200</v>
      </c>
      <c r="Z34" s="266">
        <v>100</v>
      </c>
      <c r="AA34" s="266">
        <v>100</v>
      </c>
      <c r="AB34" s="265">
        <f t="shared" si="4"/>
        <v>2300</v>
      </c>
      <c r="AC34" s="266"/>
      <c r="AD34" s="266"/>
      <c r="AE34" s="266"/>
      <c r="AF34" s="266"/>
      <c r="AG34" s="71">
        <v>0</v>
      </c>
      <c r="AH34" s="71">
        <v>0</v>
      </c>
      <c r="AI34" s="71">
        <v>0</v>
      </c>
      <c r="AJ34" s="50">
        <f t="shared" si="5"/>
        <v>0</v>
      </c>
      <c r="AK34" s="71">
        <f t="shared" si="0"/>
        <v>2300</v>
      </c>
      <c r="AL34" s="71">
        <f t="shared" si="8"/>
        <v>0</v>
      </c>
      <c r="AM34" s="91">
        <f t="shared" si="1"/>
        <v>0</v>
      </c>
      <c r="AN34" s="71">
        <f t="shared" si="2"/>
        <v>0</v>
      </c>
      <c r="AO34" s="71"/>
      <c r="AP34" s="92">
        <v>0</v>
      </c>
      <c r="AQ34" s="50">
        <f t="shared" si="6"/>
        <v>0</v>
      </c>
      <c r="AR34" s="50">
        <f t="shared" si="7"/>
        <v>2300</v>
      </c>
      <c r="AS34" s="266"/>
      <c r="AT34" s="310" t="s">
        <v>254</v>
      </c>
    </row>
    <row r="35" s="224" customFormat="1" ht="42" customHeight="1" spans="1:46">
      <c r="A35" s="321">
        <f t="shared" ref="A35:A44" si="11">ROW()-3</f>
        <v>32</v>
      </c>
      <c r="B35" s="328" t="s">
        <v>420</v>
      </c>
      <c r="C35" s="250" t="s">
        <v>273</v>
      </c>
      <c r="D35" s="243" t="s">
        <v>421</v>
      </c>
      <c r="E35" s="244" t="s">
        <v>49</v>
      </c>
      <c r="F35" s="270">
        <v>31</v>
      </c>
      <c r="G35" s="246">
        <v>0</v>
      </c>
      <c r="H35" s="246"/>
      <c r="I35" s="246">
        <v>0</v>
      </c>
      <c r="J35" s="251">
        <v>0</v>
      </c>
      <c r="K35" s="246">
        <v>0</v>
      </c>
      <c r="L35" s="246">
        <v>0</v>
      </c>
      <c r="M35" s="246">
        <v>0</v>
      </c>
      <c r="N35" s="246">
        <v>0</v>
      </c>
      <c r="O35" s="261" t="s">
        <v>254</v>
      </c>
      <c r="P35" s="246">
        <v>0</v>
      </c>
      <c r="Q35" s="246">
        <v>0</v>
      </c>
      <c r="R35" s="270">
        <v>0</v>
      </c>
      <c r="S35" s="340"/>
      <c r="T35" s="340"/>
      <c r="U35" s="340">
        <v>1900</v>
      </c>
      <c r="V35" s="265">
        <v>1300</v>
      </c>
      <c r="W35" s="266">
        <v>100</v>
      </c>
      <c r="X35" s="266">
        <v>100</v>
      </c>
      <c r="Y35" s="266">
        <v>100</v>
      </c>
      <c r="Z35" s="266">
        <v>200</v>
      </c>
      <c r="AA35" s="266">
        <v>100</v>
      </c>
      <c r="AB35" s="265">
        <f t="shared" si="4"/>
        <v>1900</v>
      </c>
      <c r="AC35" s="266"/>
      <c r="AD35" s="266"/>
      <c r="AE35" s="266"/>
      <c r="AF35" s="266"/>
      <c r="AG35" s="71">
        <v>0</v>
      </c>
      <c r="AH35" s="71">
        <v>0</v>
      </c>
      <c r="AI35" s="71">
        <v>0</v>
      </c>
      <c r="AJ35" s="50">
        <f t="shared" si="5"/>
        <v>0</v>
      </c>
      <c r="AK35" s="71">
        <f t="shared" si="0"/>
        <v>1900</v>
      </c>
      <c r="AL35" s="71">
        <f t="shared" si="8"/>
        <v>0</v>
      </c>
      <c r="AM35" s="91">
        <f t="shared" si="1"/>
        <v>0</v>
      </c>
      <c r="AN35" s="71">
        <f t="shared" si="2"/>
        <v>0</v>
      </c>
      <c r="AO35" s="71"/>
      <c r="AP35" s="71">
        <v>0</v>
      </c>
      <c r="AQ35" s="50">
        <f t="shared" si="6"/>
        <v>0</v>
      </c>
      <c r="AR35" s="50">
        <f t="shared" si="7"/>
        <v>1900</v>
      </c>
      <c r="AS35" s="266"/>
      <c r="AT35" s="310" t="s">
        <v>254</v>
      </c>
    </row>
    <row r="36" s="224" customFormat="1" ht="42" customHeight="1" spans="1:46">
      <c r="A36" s="321">
        <f t="shared" si="11"/>
        <v>33</v>
      </c>
      <c r="B36" s="328" t="s">
        <v>422</v>
      </c>
      <c r="C36" s="250" t="s">
        <v>267</v>
      </c>
      <c r="D36" s="243" t="s">
        <v>423</v>
      </c>
      <c r="E36" s="244" t="s">
        <v>49</v>
      </c>
      <c r="F36" s="270">
        <v>31</v>
      </c>
      <c r="G36" s="246">
        <v>0</v>
      </c>
      <c r="H36" s="246"/>
      <c r="I36" s="246">
        <v>0</v>
      </c>
      <c r="J36" s="251">
        <v>0</v>
      </c>
      <c r="K36" s="246">
        <v>0</v>
      </c>
      <c r="L36" s="246">
        <v>0</v>
      </c>
      <c r="M36" s="246">
        <v>0</v>
      </c>
      <c r="N36" s="246">
        <v>0</v>
      </c>
      <c r="O36" s="251" t="s">
        <v>254</v>
      </c>
      <c r="P36" s="246">
        <v>0</v>
      </c>
      <c r="Q36" s="246">
        <v>0</v>
      </c>
      <c r="R36" s="270">
        <v>0</v>
      </c>
      <c r="S36" s="340"/>
      <c r="T36" s="340"/>
      <c r="U36" s="340">
        <v>2500</v>
      </c>
      <c r="V36" s="265">
        <v>1500</v>
      </c>
      <c r="W36" s="266">
        <v>300</v>
      </c>
      <c r="X36" s="266">
        <v>200</v>
      </c>
      <c r="Y36" s="266">
        <v>200</v>
      </c>
      <c r="Z36" s="266">
        <v>200</v>
      </c>
      <c r="AA36" s="266">
        <v>100</v>
      </c>
      <c r="AB36" s="265">
        <f t="shared" si="4"/>
        <v>2500</v>
      </c>
      <c r="AC36" s="266"/>
      <c r="AD36" s="266"/>
      <c r="AE36" s="266"/>
      <c r="AF36" s="266"/>
      <c r="AG36" s="71">
        <v>0</v>
      </c>
      <c r="AH36" s="71">
        <v>0</v>
      </c>
      <c r="AI36" s="71">
        <v>0</v>
      </c>
      <c r="AJ36" s="50">
        <f t="shared" si="5"/>
        <v>0</v>
      </c>
      <c r="AK36" s="71">
        <f t="shared" si="0"/>
        <v>2500</v>
      </c>
      <c r="AL36" s="71">
        <f t="shared" si="8"/>
        <v>0</v>
      </c>
      <c r="AM36" s="91">
        <f t="shared" si="1"/>
        <v>0</v>
      </c>
      <c r="AN36" s="71">
        <f t="shared" si="2"/>
        <v>0</v>
      </c>
      <c r="AO36" s="71"/>
      <c r="AP36" s="92">
        <v>0</v>
      </c>
      <c r="AQ36" s="50">
        <f t="shared" si="6"/>
        <v>0</v>
      </c>
      <c r="AR36" s="50">
        <f t="shared" si="7"/>
        <v>2500</v>
      </c>
      <c r="AS36" s="266"/>
      <c r="AT36" s="310" t="s">
        <v>254</v>
      </c>
    </row>
    <row r="37" s="224" customFormat="1" ht="42" customHeight="1" spans="1:46">
      <c r="A37" s="321">
        <f t="shared" si="11"/>
        <v>34</v>
      </c>
      <c r="B37" s="287" t="s">
        <v>424</v>
      </c>
      <c r="C37" s="250" t="s">
        <v>267</v>
      </c>
      <c r="D37" s="243" t="s">
        <v>425</v>
      </c>
      <c r="E37" s="244" t="s">
        <v>49</v>
      </c>
      <c r="F37" s="270">
        <v>31</v>
      </c>
      <c r="G37" s="246">
        <v>0</v>
      </c>
      <c r="H37" s="246"/>
      <c r="I37" s="246">
        <v>0</v>
      </c>
      <c r="J37" s="251">
        <v>0</v>
      </c>
      <c r="K37" s="246">
        <v>0</v>
      </c>
      <c r="L37" s="246">
        <v>0</v>
      </c>
      <c r="M37" s="246">
        <v>0</v>
      </c>
      <c r="N37" s="246">
        <v>0</v>
      </c>
      <c r="O37" s="251" t="s">
        <v>254</v>
      </c>
      <c r="P37" s="246">
        <v>0</v>
      </c>
      <c r="Q37" s="246">
        <v>0</v>
      </c>
      <c r="R37" s="270">
        <v>0</v>
      </c>
      <c r="S37" s="340"/>
      <c r="T37" s="340"/>
      <c r="U37" s="340">
        <v>2300</v>
      </c>
      <c r="V37" s="265">
        <v>1500</v>
      </c>
      <c r="W37" s="266">
        <v>200</v>
      </c>
      <c r="X37" s="266">
        <v>200</v>
      </c>
      <c r="Y37" s="266">
        <v>200</v>
      </c>
      <c r="Z37" s="266">
        <v>100</v>
      </c>
      <c r="AA37" s="266">
        <v>100</v>
      </c>
      <c r="AB37" s="265">
        <f t="shared" ref="AB37:AB59" si="12">SUM(V37:AA37)</f>
        <v>2300</v>
      </c>
      <c r="AC37" s="266"/>
      <c r="AD37" s="266"/>
      <c r="AE37" s="266"/>
      <c r="AF37" s="266"/>
      <c r="AG37" s="71">
        <v>0</v>
      </c>
      <c r="AH37" s="71">
        <v>0</v>
      </c>
      <c r="AI37" s="71">
        <v>0</v>
      </c>
      <c r="AJ37" s="50">
        <f t="shared" si="5"/>
        <v>0</v>
      </c>
      <c r="AK37" s="71">
        <f t="shared" si="0"/>
        <v>2300</v>
      </c>
      <c r="AL37" s="71">
        <f t="shared" si="8"/>
        <v>0</v>
      </c>
      <c r="AM37" s="91">
        <f t="shared" si="1"/>
        <v>0</v>
      </c>
      <c r="AN37" s="71">
        <f t="shared" si="2"/>
        <v>0</v>
      </c>
      <c r="AO37" s="71"/>
      <c r="AP37" s="92">
        <v>0</v>
      </c>
      <c r="AQ37" s="50">
        <f t="shared" ref="AQ37:AQ59" si="13">SUM(AM37:AP37)</f>
        <v>0</v>
      </c>
      <c r="AR37" s="50">
        <f t="shared" ref="AR37:AR59" si="14">AK37-AQ37</f>
        <v>2300</v>
      </c>
      <c r="AS37" s="266"/>
      <c r="AT37" s="310" t="s">
        <v>254</v>
      </c>
    </row>
    <row r="38" s="224" customFormat="1" ht="42" customHeight="1" spans="1:46">
      <c r="A38" s="321">
        <f t="shared" si="11"/>
        <v>35</v>
      </c>
      <c r="B38" s="287" t="s">
        <v>426</v>
      </c>
      <c r="C38" s="250" t="s">
        <v>267</v>
      </c>
      <c r="D38" s="243" t="s">
        <v>427</v>
      </c>
      <c r="E38" s="244" t="s">
        <v>49</v>
      </c>
      <c r="F38" s="270">
        <v>31</v>
      </c>
      <c r="G38" s="246">
        <v>0</v>
      </c>
      <c r="H38" s="246"/>
      <c r="I38" s="246">
        <v>0</v>
      </c>
      <c r="J38" s="251">
        <v>0</v>
      </c>
      <c r="K38" s="246">
        <v>0</v>
      </c>
      <c r="L38" s="246">
        <v>0</v>
      </c>
      <c r="M38" s="246">
        <v>0</v>
      </c>
      <c r="N38" s="246">
        <v>0</v>
      </c>
      <c r="O38" s="251" t="s">
        <v>428</v>
      </c>
      <c r="P38" s="246">
        <v>0</v>
      </c>
      <c r="Q38" s="246">
        <v>0</v>
      </c>
      <c r="R38" s="270">
        <v>0</v>
      </c>
      <c r="S38" s="340"/>
      <c r="T38" s="340"/>
      <c r="U38" s="340">
        <v>2300</v>
      </c>
      <c r="V38" s="265">
        <v>1500</v>
      </c>
      <c r="W38" s="266">
        <v>200</v>
      </c>
      <c r="X38" s="266">
        <v>200</v>
      </c>
      <c r="Y38" s="266">
        <v>200</v>
      </c>
      <c r="Z38" s="266">
        <v>100</v>
      </c>
      <c r="AA38" s="266">
        <v>100</v>
      </c>
      <c r="AB38" s="265">
        <f t="shared" si="12"/>
        <v>2300</v>
      </c>
      <c r="AC38" s="266">
        <v>408.06</v>
      </c>
      <c r="AD38" s="266"/>
      <c r="AE38" s="266"/>
      <c r="AF38" s="266"/>
      <c r="AG38" s="71">
        <v>0</v>
      </c>
      <c r="AH38" s="71">
        <v>0</v>
      </c>
      <c r="AI38" s="71">
        <v>0</v>
      </c>
      <c r="AJ38" s="50">
        <f t="shared" si="5"/>
        <v>0</v>
      </c>
      <c r="AK38" s="71">
        <f t="shared" si="0"/>
        <v>2708.06</v>
      </c>
      <c r="AL38" s="71">
        <f t="shared" si="8"/>
        <v>0</v>
      </c>
      <c r="AM38" s="91">
        <f t="shared" si="1"/>
        <v>0</v>
      </c>
      <c r="AN38" s="71">
        <f t="shared" si="2"/>
        <v>0</v>
      </c>
      <c r="AO38" s="71"/>
      <c r="AP38" s="92">
        <v>0</v>
      </c>
      <c r="AQ38" s="50">
        <f t="shared" si="13"/>
        <v>0</v>
      </c>
      <c r="AR38" s="50">
        <f t="shared" si="14"/>
        <v>2708.06</v>
      </c>
      <c r="AS38" s="266"/>
      <c r="AT38" s="310" t="s">
        <v>429</v>
      </c>
    </row>
    <row r="39" s="224" customFormat="1" ht="73" customHeight="1" spans="1:46">
      <c r="A39" s="321">
        <f t="shared" si="11"/>
        <v>36</v>
      </c>
      <c r="B39" s="282" t="s">
        <v>430</v>
      </c>
      <c r="C39" s="250" t="s">
        <v>267</v>
      </c>
      <c r="D39" s="243" t="s">
        <v>427</v>
      </c>
      <c r="E39" s="258" t="s">
        <v>107</v>
      </c>
      <c r="F39" s="270">
        <v>14</v>
      </c>
      <c r="G39" s="246">
        <v>0</v>
      </c>
      <c r="H39" s="246">
        <v>0</v>
      </c>
      <c r="I39" s="246">
        <v>0</v>
      </c>
      <c r="J39" s="251">
        <v>0</v>
      </c>
      <c r="K39" s="246">
        <v>0</v>
      </c>
      <c r="L39" s="246">
        <v>0</v>
      </c>
      <c r="M39" s="246">
        <v>0</v>
      </c>
      <c r="N39" s="246">
        <v>0</v>
      </c>
      <c r="O39" s="261" t="s">
        <v>431</v>
      </c>
      <c r="P39" s="246">
        <v>0</v>
      </c>
      <c r="Q39" s="246">
        <v>0</v>
      </c>
      <c r="R39" s="270">
        <v>0</v>
      </c>
      <c r="S39" s="340"/>
      <c r="T39" s="340"/>
      <c r="U39" s="340">
        <v>2300</v>
      </c>
      <c r="V39" s="265">
        <f>2300/31*14</f>
        <v>1038.70967741935</v>
      </c>
      <c r="W39" s="266">
        <v>0</v>
      </c>
      <c r="X39" s="266">
        <v>0</v>
      </c>
      <c r="Y39" s="266">
        <v>0</v>
      </c>
      <c r="Z39" s="266">
        <v>0</v>
      </c>
      <c r="AA39" s="266">
        <v>0</v>
      </c>
      <c r="AB39" s="265">
        <f t="shared" si="12"/>
        <v>1038.70967741935</v>
      </c>
      <c r="AC39" s="266">
        <v>408.06</v>
      </c>
      <c r="AD39" s="266"/>
      <c r="AE39" s="266"/>
      <c r="AF39" s="266"/>
      <c r="AG39" s="71">
        <v>0</v>
      </c>
      <c r="AH39" s="71">
        <v>0</v>
      </c>
      <c r="AI39" s="71">
        <v>0</v>
      </c>
      <c r="AJ39" s="50">
        <f t="shared" si="5"/>
        <v>0</v>
      </c>
      <c r="AK39" s="71">
        <f t="shared" si="0"/>
        <v>1446.76967741935</v>
      </c>
      <c r="AL39" s="71">
        <f t="shared" si="8"/>
        <v>0</v>
      </c>
      <c r="AM39" s="91">
        <f t="shared" si="1"/>
        <v>0</v>
      </c>
      <c r="AN39" s="71">
        <f t="shared" si="2"/>
        <v>0</v>
      </c>
      <c r="AO39" s="71"/>
      <c r="AP39" s="71">
        <v>0</v>
      </c>
      <c r="AQ39" s="50">
        <f t="shared" si="13"/>
        <v>0</v>
      </c>
      <c r="AR39" s="50">
        <f t="shared" si="14"/>
        <v>1446.76967741935</v>
      </c>
      <c r="AS39" s="266"/>
      <c r="AT39" s="310" t="s">
        <v>432</v>
      </c>
    </row>
    <row r="40" s="224" customFormat="1" ht="42" customHeight="1" spans="1:46">
      <c r="A40" s="321">
        <f t="shared" si="11"/>
        <v>37</v>
      </c>
      <c r="B40" s="287" t="s">
        <v>433</v>
      </c>
      <c r="C40" s="250" t="s">
        <v>267</v>
      </c>
      <c r="D40" s="243" t="s">
        <v>434</v>
      </c>
      <c r="E40" s="244" t="s">
        <v>49</v>
      </c>
      <c r="F40" s="270">
        <v>31</v>
      </c>
      <c r="G40" s="246">
        <v>0</v>
      </c>
      <c r="H40" s="246">
        <v>0</v>
      </c>
      <c r="I40" s="246">
        <v>0</v>
      </c>
      <c r="J40" s="251">
        <v>0</v>
      </c>
      <c r="K40" s="246">
        <v>0</v>
      </c>
      <c r="L40" s="246">
        <v>0</v>
      </c>
      <c r="M40" s="246">
        <v>0</v>
      </c>
      <c r="N40" s="246">
        <v>0</v>
      </c>
      <c r="O40" s="251" t="s">
        <v>254</v>
      </c>
      <c r="P40" s="246">
        <v>0</v>
      </c>
      <c r="Q40" s="246">
        <v>0</v>
      </c>
      <c r="R40" s="270">
        <v>0</v>
      </c>
      <c r="S40" s="340"/>
      <c r="T40" s="340"/>
      <c r="U40" s="340">
        <v>2300</v>
      </c>
      <c r="V40" s="265">
        <v>1500</v>
      </c>
      <c r="W40" s="266">
        <v>200</v>
      </c>
      <c r="X40" s="266">
        <v>200</v>
      </c>
      <c r="Y40" s="266">
        <v>200</v>
      </c>
      <c r="Z40" s="266">
        <v>100</v>
      </c>
      <c r="AA40" s="266">
        <v>100</v>
      </c>
      <c r="AB40" s="265">
        <f t="shared" si="12"/>
        <v>2300</v>
      </c>
      <c r="AC40" s="266"/>
      <c r="AD40" s="266"/>
      <c r="AE40" s="266"/>
      <c r="AF40" s="266"/>
      <c r="AG40" s="71">
        <v>0</v>
      </c>
      <c r="AH40" s="71">
        <v>0</v>
      </c>
      <c r="AI40" s="71">
        <v>0</v>
      </c>
      <c r="AJ40" s="50">
        <f t="shared" si="5"/>
        <v>0</v>
      </c>
      <c r="AK40" s="71">
        <f t="shared" si="0"/>
        <v>2300</v>
      </c>
      <c r="AL40" s="71">
        <f t="shared" si="8"/>
        <v>0</v>
      </c>
      <c r="AM40" s="91">
        <f t="shared" si="1"/>
        <v>0</v>
      </c>
      <c r="AN40" s="71">
        <f t="shared" si="2"/>
        <v>0</v>
      </c>
      <c r="AO40" s="71"/>
      <c r="AP40" s="71">
        <v>0</v>
      </c>
      <c r="AQ40" s="50">
        <f t="shared" si="13"/>
        <v>0</v>
      </c>
      <c r="AR40" s="50">
        <f t="shared" si="14"/>
        <v>2300</v>
      </c>
      <c r="AS40" s="266"/>
      <c r="AT40" s="310" t="s">
        <v>254</v>
      </c>
    </row>
    <row r="41" s="224" customFormat="1" ht="42" customHeight="1" spans="1:46">
      <c r="A41" s="321">
        <f t="shared" si="11"/>
        <v>38</v>
      </c>
      <c r="B41" s="287" t="s">
        <v>435</v>
      </c>
      <c r="C41" s="250" t="s">
        <v>273</v>
      </c>
      <c r="D41" s="243" t="s">
        <v>338</v>
      </c>
      <c r="E41" s="244" t="s">
        <v>49</v>
      </c>
      <c r="F41" s="270">
        <v>31</v>
      </c>
      <c r="G41" s="246">
        <v>0</v>
      </c>
      <c r="H41" s="246">
        <v>0</v>
      </c>
      <c r="I41" s="246">
        <v>0</v>
      </c>
      <c r="J41" s="251">
        <v>0</v>
      </c>
      <c r="K41" s="246">
        <v>0</v>
      </c>
      <c r="L41" s="246">
        <v>0</v>
      </c>
      <c r="M41" s="246">
        <v>0</v>
      </c>
      <c r="N41" s="246">
        <v>0</v>
      </c>
      <c r="O41" s="251" t="s">
        <v>254</v>
      </c>
      <c r="P41" s="246">
        <v>0</v>
      </c>
      <c r="Q41" s="246">
        <v>0</v>
      </c>
      <c r="R41" s="270">
        <v>0</v>
      </c>
      <c r="S41" s="340"/>
      <c r="T41" s="340"/>
      <c r="U41" s="340">
        <v>1900</v>
      </c>
      <c r="V41" s="265">
        <v>1300</v>
      </c>
      <c r="W41" s="266">
        <v>100</v>
      </c>
      <c r="X41" s="266">
        <v>100</v>
      </c>
      <c r="Y41" s="266">
        <v>100</v>
      </c>
      <c r="Z41" s="266">
        <v>200</v>
      </c>
      <c r="AA41" s="266">
        <v>100</v>
      </c>
      <c r="AB41" s="265">
        <f t="shared" si="12"/>
        <v>1900</v>
      </c>
      <c r="AC41" s="266"/>
      <c r="AD41" s="266"/>
      <c r="AE41" s="266"/>
      <c r="AF41" s="266"/>
      <c r="AG41" s="71">
        <v>0</v>
      </c>
      <c r="AH41" s="71">
        <v>0</v>
      </c>
      <c r="AI41" s="71">
        <v>0</v>
      </c>
      <c r="AJ41" s="50">
        <f t="shared" si="5"/>
        <v>0</v>
      </c>
      <c r="AK41" s="71">
        <f t="shared" si="0"/>
        <v>1900</v>
      </c>
      <c r="AL41" s="71">
        <f t="shared" si="8"/>
        <v>0</v>
      </c>
      <c r="AM41" s="91">
        <f t="shared" si="1"/>
        <v>0</v>
      </c>
      <c r="AN41" s="71">
        <f t="shared" si="2"/>
        <v>0</v>
      </c>
      <c r="AO41" s="71"/>
      <c r="AP41" s="92">
        <v>0</v>
      </c>
      <c r="AQ41" s="50">
        <f t="shared" si="13"/>
        <v>0</v>
      </c>
      <c r="AR41" s="50">
        <f t="shared" si="14"/>
        <v>1900</v>
      </c>
      <c r="AS41" s="266"/>
      <c r="AT41" s="310" t="s">
        <v>254</v>
      </c>
    </row>
    <row r="42" s="224" customFormat="1" ht="42" customHeight="1" spans="1:46">
      <c r="A42" s="321">
        <f t="shared" si="11"/>
        <v>39</v>
      </c>
      <c r="B42" s="326" t="s">
        <v>436</v>
      </c>
      <c r="C42" s="250" t="s">
        <v>273</v>
      </c>
      <c r="D42" s="243" t="s">
        <v>437</v>
      </c>
      <c r="E42" s="244" t="s">
        <v>49</v>
      </c>
      <c r="F42" s="270">
        <v>31</v>
      </c>
      <c r="G42" s="246">
        <v>0</v>
      </c>
      <c r="H42" s="246">
        <v>0</v>
      </c>
      <c r="I42" s="246">
        <v>0</v>
      </c>
      <c r="J42" s="251">
        <v>0</v>
      </c>
      <c r="K42" s="246">
        <v>0</v>
      </c>
      <c r="L42" s="246">
        <v>0</v>
      </c>
      <c r="M42" s="246">
        <v>0</v>
      </c>
      <c r="N42" s="246">
        <v>0</v>
      </c>
      <c r="O42" s="251" t="s">
        <v>254</v>
      </c>
      <c r="P42" s="246">
        <v>0</v>
      </c>
      <c r="Q42" s="246">
        <v>0</v>
      </c>
      <c r="R42" s="270">
        <v>0</v>
      </c>
      <c r="S42" s="340"/>
      <c r="T42" s="340"/>
      <c r="U42" s="340">
        <v>1900</v>
      </c>
      <c r="V42" s="265">
        <v>1300</v>
      </c>
      <c r="W42" s="266">
        <v>100</v>
      </c>
      <c r="X42" s="266">
        <v>100</v>
      </c>
      <c r="Y42" s="266">
        <v>100</v>
      </c>
      <c r="Z42" s="266">
        <v>200</v>
      </c>
      <c r="AA42" s="266">
        <v>100</v>
      </c>
      <c r="AB42" s="265">
        <f t="shared" si="12"/>
        <v>1900</v>
      </c>
      <c r="AC42" s="266"/>
      <c r="AD42" s="266"/>
      <c r="AE42" s="266"/>
      <c r="AF42" s="266"/>
      <c r="AG42" s="71">
        <v>0</v>
      </c>
      <c r="AH42" s="71">
        <v>0</v>
      </c>
      <c r="AI42" s="71">
        <v>0</v>
      </c>
      <c r="AJ42" s="50">
        <f t="shared" si="5"/>
        <v>0</v>
      </c>
      <c r="AK42" s="71">
        <f t="shared" si="0"/>
        <v>1900</v>
      </c>
      <c r="AL42" s="71">
        <f t="shared" si="8"/>
        <v>0</v>
      </c>
      <c r="AM42" s="91">
        <f t="shared" si="1"/>
        <v>0</v>
      </c>
      <c r="AN42" s="71">
        <f t="shared" si="2"/>
        <v>0</v>
      </c>
      <c r="AO42" s="71"/>
      <c r="AP42" s="71">
        <v>0</v>
      </c>
      <c r="AQ42" s="50">
        <f t="shared" si="13"/>
        <v>0</v>
      </c>
      <c r="AR42" s="50">
        <f t="shared" si="14"/>
        <v>1900</v>
      </c>
      <c r="AS42" s="266"/>
      <c r="AT42" s="310" t="s">
        <v>254</v>
      </c>
    </row>
    <row r="43" s="313" customFormat="1" ht="42" customHeight="1" spans="1:46">
      <c r="A43" s="321">
        <f t="shared" si="11"/>
        <v>40</v>
      </c>
      <c r="B43" s="326" t="s">
        <v>438</v>
      </c>
      <c r="C43" s="250" t="s">
        <v>267</v>
      </c>
      <c r="D43" s="243" t="s">
        <v>439</v>
      </c>
      <c r="E43" s="244" t="s">
        <v>49</v>
      </c>
      <c r="F43" s="270">
        <v>31</v>
      </c>
      <c r="G43" s="246">
        <v>0</v>
      </c>
      <c r="H43" s="246">
        <v>0</v>
      </c>
      <c r="I43" s="246">
        <v>0</v>
      </c>
      <c r="J43" s="251">
        <v>0</v>
      </c>
      <c r="K43" s="246">
        <v>0</v>
      </c>
      <c r="L43" s="246">
        <v>0</v>
      </c>
      <c r="M43" s="246">
        <v>0</v>
      </c>
      <c r="N43" s="246">
        <v>0</v>
      </c>
      <c r="O43" s="251" t="s">
        <v>254</v>
      </c>
      <c r="P43" s="246">
        <v>0</v>
      </c>
      <c r="Q43" s="246">
        <v>0</v>
      </c>
      <c r="R43" s="270">
        <v>0</v>
      </c>
      <c r="S43" s="340"/>
      <c r="T43" s="340"/>
      <c r="U43" s="340">
        <v>2300</v>
      </c>
      <c r="V43" s="265">
        <v>1500</v>
      </c>
      <c r="W43" s="266">
        <v>200</v>
      </c>
      <c r="X43" s="266">
        <v>200</v>
      </c>
      <c r="Y43" s="266">
        <v>200</v>
      </c>
      <c r="Z43" s="266">
        <v>100</v>
      </c>
      <c r="AA43" s="266">
        <v>100</v>
      </c>
      <c r="AB43" s="265">
        <f t="shared" si="12"/>
        <v>2300</v>
      </c>
      <c r="AC43" s="266"/>
      <c r="AD43" s="266"/>
      <c r="AE43" s="266"/>
      <c r="AF43" s="266"/>
      <c r="AG43" s="71">
        <v>0</v>
      </c>
      <c r="AH43" s="71">
        <v>0</v>
      </c>
      <c r="AI43" s="71">
        <v>0</v>
      </c>
      <c r="AJ43" s="50">
        <f t="shared" si="5"/>
        <v>0</v>
      </c>
      <c r="AK43" s="71">
        <f t="shared" si="0"/>
        <v>2300</v>
      </c>
      <c r="AL43" s="71">
        <f t="shared" si="8"/>
        <v>0</v>
      </c>
      <c r="AM43" s="91">
        <f>AC43/F43*AL43</f>
        <v>0</v>
      </c>
      <c r="AN43" s="71">
        <f t="shared" si="2"/>
        <v>0</v>
      </c>
      <c r="AO43" s="71"/>
      <c r="AP43" s="71">
        <v>0</v>
      </c>
      <c r="AQ43" s="50">
        <f t="shared" si="13"/>
        <v>0</v>
      </c>
      <c r="AR43" s="50">
        <f t="shared" si="14"/>
        <v>2300</v>
      </c>
      <c r="AS43" s="266"/>
      <c r="AT43" s="310" t="s">
        <v>254</v>
      </c>
    </row>
    <row r="44" s="313" customFormat="1" ht="42" customHeight="1" spans="1:46">
      <c r="A44" s="321">
        <f t="shared" si="11"/>
        <v>41</v>
      </c>
      <c r="B44" s="326" t="s">
        <v>440</v>
      </c>
      <c r="C44" s="250" t="s">
        <v>267</v>
      </c>
      <c r="D44" s="243" t="s">
        <v>356</v>
      </c>
      <c r="E44" s="244" t="s">
        <v>49</v>
      </c>
      <c r="F44" s="270">
        <v>31</v>
      </c>
      <c r="G44" s="246">
        <v>0</v>
      </c>
      <c r="H44" s="246">
        <v>0</v>
      </c>
      <c r="I44" s="246">
        <v>0</v>
      </c>
      <c r="J44" s="251">
        <v>0</v>
      </c>
      <c r="K44" s="246">
        <v>0</v>
      </c>
      <c r="L44" s="246">
        <v>0</v>
      </c>
      <c r="M44" s="246">
        <v>0</v>
      </c>
      <c r="N44" s="246">
        <v>0</v>
      </c>
      <c r="O44" s="251" t="s">
        <v>254</v>
      </c>
      <c r="P44" s="246">
        <v>0</v>
      </c>
      <c r="Q44" s="246">
        <v>0</v>
      </c>
      <c r="R44" s="270">
        <v>0</v>
      </c>
      <c r="S44" s="340"/>
      <c r="T44" s="340"/>
      <c r="U44" s="340">
        <v>2300</v>
      </c>
      <c r="V44" s="265">
        <v>1500</v>
      </c>
      <c r="W44" s="266">
        <v>200</v>
      </c>
      <c r="X44" s="266">
        <v>200</v>
      </c>
      <c r="Y44" s="266">
        <v>200</v>
      </c>
      <c r="Z44" s="266">
        <v>100</v>
      </c>
      <c r="AA44" s="266">
        <v>100</v>
      </c>
      <c r="AB44" s="265">
        <f t="shared" si="12"/>
        <v>2300</v>
      </c>
      <c r="AC44" s="266"/>
      <c r="AD44" s="266"/>
      <c r="AE44" s="266"/>
      <c r="AF44" s="266"/>
      <c r="AG44" s="71">
        <v>0</v>
      </c>
      <c r="AH44" s="71">
        <v>0</v>
      </c>
      <c r="AI44" s="71">
        <v>0</v>
      </c>
      <c r="AJ44" s="50">
        <f t="shared" si="5"/>
        <v>0</v>
      </c>
      <c r="AK44" s="71">
        <f t="shared" si="0"/>
        <v>2300</v>
      </c>
      <c r="AL44" s="71">
        <f t="shared" si="8"/>
        <v>0</v>
      </c>
      <c r="AM44" s="91">
        <f>AC44/F44*AL44</f>
        <v>0</v>
      </c>
      <c r="AN44" s="71">
        <f t="shared" si="2"/>
        <v>0</v>
      </c>
      <c r="AO44" s="71"/>
      <c r="AP44" s="71">
        <v>0</v>
      </c>
      <c r="AQ44" s="50">
        <f t="shared" si="13"/>
        <v>0</v>
      </c>
      <c r="AR44" s="50">
        <f t="shared" si="14"/>
        <v>2300</v>
      </c>
      <c r="AS44" s="266"/>
      <c r="AT44" s="310" t="s">
        <v>254</v>
      </c>
    </row>
    <row r="45" s="313" customFormat="1" ht="42" customHeight="1" spans="1:46">
      <c r="A45" s="321">
        <f t="shared" ref="A45:A59" si="15">ROW()-3</f>
        <v>42</v>
      </c>
      <c r="B45" s="332" t="s">
        <v>441</v>
      </c>
      <c r="C45" s="250" t="s">
        <v>267</v>
      </c>
      <c r="D45" s="243" t="s">
        <v>442</v>
      </c>
      <c r="E45" s="244" t="s">
        <v>49</v>
      </c>
      <c r="F45" s="270">
        <v>31</v>
      </c>
      <c r="G45" s="246">
        <v>0</v>
      </c>
      <c r="H45" s="246">
        <v>0</v>
      </c>
      <c r="I45" s="246">
        <v>0</v>
      </c>
      <c r="J45" s="251">
        <v>0</v>
      </c>
      <c r="K45" s="246">
        <v>0</v>
      </c>
      <c r="L45" s="246">
        <v>0</v>
      </c>
      <c r="M45" s="246">
        <v>0</v>
      </c>
      <c r="N45" s="246">
        <v>0</v>
      </c>
      <c r="O45" s="251" t="s">
        <v>254</v>
      </c>
      <c r="P45" s="246">
        <v>0</v>
      </c>
      <c r="Q45" s="246">
        <v>0</v>
      </c>
      <c r="R45" s="270">
        <v>0</v>
      </c>
      <c r="S45" s="340"/>
      <c r="T45" s="340"/>
      <c r="U45" s="340">
        <v>2300</v>
      </c>
      <c r="V45" s="265">
        <v>1500</v>
      </c>
      <c r="W45" s="266">
        <v>200</v>
      </c>
      <c r="X45" s="266">
        <v>200</v>
      </c>
      <c r="Y45" s="266">
        <v>200</v>
      </c>
      <c r="Z45" s="266">
        <v>100</v>
      </c>
      <c r="AA45" s="266">
        <v>100</v>
      </c>
      <c r="AB45" s="265">
        <f t="shared" si="12"/>
        <v>2300</v>
      </c>
      <c r="AC45" s="266"/>
      <c r="AD45" s="266"/>
      <c r="AE45" s="266"/>
      <c r="AF45" s="266"/>
      <c r="AG45" s="71">
        <v>0</v>
      </c>
      <c r="AH45" s="71">
        <v>0</v>
      </c>
      <c r="AI45" s="71">
        <v>0</v>
      </c>
      <c r="AJ45" s="50">
        <f t="shared" si="5"/>
        <v>0</v>
      </c>
      <c r="AK45" s="71">
        <f t="shared" si="0"/>
        <v>2300</v>
      </c>
      <c r="AL45" s="71">
        <f t="shared" si="8"/>
        <v>0</v>
      </c>
      <c r="AM45" s="91">
        <f>AC45/F45*AL45</f>
        <v>0</v>
      </c>
      <c r="AN45" s="71">
        <f t="shared" si="2"/>
        <v>0</v>
      </c>
      <c r="AO45" s="71"/>
      <c r="AP45" s="71">
        <v>0</v>
      </c>
      <c r="AQ45" s="50">
        <f t="shared" si="13"/>
        <v>0</v>
      </c>
      <c r="AR45" s="50">
        <f t="shared" si="14"/>
        <v>2300</v>
      </c>
      <c r="AS45" s="266"/>
      <c r="AT45" s="310" t="s">
        <v>254</v>
      </c>
    </row>
    <row r="46" s="314" customFormat="1" ht="42" customHeight="1" spans="1:46">
      <c r="A46" s="321">
        <f t="shared" si="15"/>
        <v>43</v>
      </c>
      <c r="B46" s="328" t="s">
        <v>443</v>
      </c>
      <c r="C46" s="250" t="s">
        <v>273</v>
      </c>
      <c r="D46" s="243" t="s">
        <v>444</v>
      </c>
      <c r="E46" s="244" t="s">
        <v>49</v>
      </c>
      <c r="F46" s="250">
        <v>31</v>
      </c>
      <c r="G46" s="251">
        <v>0</v>
      </c>
      <c r="H46" s="251">
        <v>11</v>
      </c>
      <c r="I46" s="251">
        <v>0</v>
      </c>
      <c r="J46" s="251">
        <v>0</v>
      </c>
      <c r="K46" s="251">
        <v>0</v>
      </c>
      <c r="L46" s="251">
        <v>0</v>
      </c>
      <c r="M46" s="251">
        <v>0</v>
      </c>
      <c r="N46" s="251">
        <v>0</v>
      </c>
      <c r="O46" s="251" t="s">
        <v>445</v>
      </c>
      <c r="P46" s="251">
        <v>0</v>
      </c>
      <c r="Q46" s="251">
        <v>0</v>
      </c>
      <c r="R46" s="250">
        <v>0</v>
      </c>
      <c r="S46" s="269"/>
      <c r="T46" s="269"/>
      <c r="U46" s="269">
        <v>1900</v>
      </c>
      <c r="V46" s="265">
        <v>1300</v>
      </c>
      <c r="W46" s="265">
        <v>100</v>
      </c>
      <c r="X46" s="265">
        <v>100</v>
      </c>
      <c r="Y46" s="265">
        <v>100</v>
      </c>
      <c r="Z46" s="265">
        <v>200</v>
      </c>
      <c r="AA46" s="265">
        <v>100</v>
      </c>
      <c r="AB46" s="265">
        <f t="shared" si="12"/>
        <v>1900</v>
      </c>
      <c r="AC46" s="265"/>
      <c r="AD46" s="265"/>
      <c r="AE46" s="265"/>
      <c r="AF46" s="265"/>
      <c r="AG46" s="50">
        <v>0</v>
      </c>
      <c r="AH46" s="50">
        <v>0</v>
      </c>
      <c r="AI46" s="50">
        <v>0</v>
      </c>
      <c r="AJ46" s="50">
        <f t="shared" si="5"/>
        <v>0</v>
      </c>
      <c r="AK46" s="50">
        <f t="shared" si="0"/>
        <v>1900</v>
      </c>
      <c r="AL46" s="50">
        <f t="shared" si="8"/>
        <v>11</v>
      </c>
      <c r="AM46" s="350">
        <v>674.19</v>
      </c>
      <c r="AN46" s="50">
        <f t="shared" si="2"/>
        <v>0</v>
      </c>
      <c r="AO46" s="50"/>
      <c r="AP46" s="50">
        <v>0</v>
      </c>
      <c r="AQ46" s="50">
        <f t="shared" si="13"/>
        <v>674.19</v>
      </c>
      <c r="AR46" s="50">
        <f t="shared" si="14"/>
        <v>1225.81</v>
      </c>
      <c r="AS46" s="265"/>
      <c r="AT46" s="310" t="s">
        <v>445</v>
      </c>
    </row>
    <row r="47" s="313" customFormat="1" ht="42" customHeight="1" spans="1:46">
      <c r="A47" s="321">
        <f t="shared" si="15"/>
        <v>44</v>
      </c>
      <c r="B47" s="326" t="s">
        <v>446</v>
      </c>
      <c r="C47" s="250" t="s">
        <v>273</v>
      </c>
      <c r="D47" s="243" t="s">
        <v>447</v>
      </c>
      <c r="E47" s="244" t="s">
        <v>49</v>
      </c>
      <c r="F47" s="270">
        <v>31</v>
      </c>
      <c r="G47" s="246">
        <v>0</v>
      </c>
      <c r="H47" s="246">
        <v>0</v>
      </c>
      <c r="I47" s="246">
        <v>0</v>
      </c>
      <c r="J47" s="251">
        <v>0</v>
      </c>
      <c r="K47" s="246">
        <v>0</v>
      </c>
      <c r="L47" s="246">
        <v>0</v>
      </c>
      <c r="M47" s="246">
        <v>0</v>
      </c>
      <c r="N47" s="246">
        <v>0</v>
      </c>
      <c r="O47" s="251" t="s">
        <v>254</v>
      </c>
      <c r="P47" s="246">
        <v>0</v>
      </c>
      <c r="Q47" s="246">
        <v>0</v>
      </c>
      <c r="R47" s="270">
        <v>0</v>
      </c>
      <c r="S47" s="340"/>
      <c r="T47" s="340"/>
      <c r="U47" s="340">
        <v>1700</v>
      </c>
      <c r="V47" s="265">
        <v>1200</v>
      </c>
      <c r="W47" s="266">
        <v>100</v>
      </c>
      <c r="X47" s="266">
        <v>100</v>
      </c>
      <c r="Y47" s="266">
        <v>100</v>
      </c>
      <c r="Z47" s="266">
        <v>100</v>
      </c>
      <c r="AA47" s="266">
        <v>100</v>
      </c>
      <c r="AB47" s="265">
        <f t="shared" si="12"/>
        <v>1700</v>
      </c>
      <c r="AC47" s="266"/>
      <c r="AD47" s="266"/>
      <c r="AE47" s="266"/>
      <c r="AF47" s="266"/>
      <c r="AG47" s="71">
        <v>0</v>
      </c>
      <c r="AH47" s="71">
        <v>0</v>
      </c>
      <c r="AI47" s="71">
        <v>0</v>
      </c>
      <c r="AJ47" s="50">
        <f t="shared" si="5"/>
        <v>0</v>
      </c>
      <c r="AK47" s="71">
        <f t="shared" si="0"/>
        <v>1700</v>
      </c>
      <c r="AL47" s="71">
        <f t="shared" si="8"/>
        <v>0</v>
      </c>
      <c r="AM47" s="91">
        <f>AC47/F47*AL47</f>
        <v>0</v>
      </c>
      <c r="AN47" s="71">
        <f t="shared" si="2"/>
        <v>0</v>
      </c>
      <c r="AO47" s="71"/>
      <c r="AP47" s="71">
        <v>0</v>
      </c>
      <c r="AQ47" s="50">
        <f t="shared" si="13"/>
        <v>0</v>
      </c>
      <c r="AR47" s="50">
        <f t="shared" si="14"/>
        <v>1700</v>
      </c>
      <c r="AS47" s="266"/>
      <c r="AT47" s="310" t="s">
        <v>254</v>
      </c>
    </row>
    <row r="48" s="313" customFormat="1" ht="42" customHeight="1" spans="1:46">
      <c r="A48" s="321">
        <f t="shared" si="15"/>
        <v>45</v>
      </c>
      <c r="B48" s="326" t="s">
        <v>448</v>
      </c>
      <c r="C48" s="250" t="s">
        <v>273</v>
      </c>
      <c r="D48" s="243" t="s">
        <v>449</v>
      </c>
      <c r="E48" s="333" t="s">
        <v>65</v>
      </c>
      <c r="F48" s="270">
        <v>12</v>
      </c>
      <c r="G48" s="246">
        <v>0</v>
      </c>
      <c r="H48" s="246">
        <v>0</v>
      </c>
      <c r="I48" s="246">
        <v>0</v>
      </c>
      <c r="J48" s="251">
        <v>0</v>
      </c>
      <c r="K48" s="246">
        <v>0</v>
      </c>
      <c r="L48" s="246">
        <v>0</v>
      </c>
      <c r="M48" s="246">
        <v>0</v>
      </c>
      <c r="N48" s="246">
        <v>0</v>
      </c>
      <c r="O48" s="251" t="s">
        <v>450</v>
      </c>
      <c r="P48" s="246">
        <v>0</v>
      </c>
      <c r="Q48" s="246">
        <v>0</v>
      </c>
      <c r="R48" s="270">
        <v>0</v>
      </c>
      <c r="S48" s="341"/>
      <c r="T48" s="341"/>
      <c r="U48" s="340">
        <v>1600</v>
      </c>
      <c r="V48" s="265">
        <f>1600/31*12</f>
        <v>619.354838709677</v>
      </c>
      <c r="W48" s="266">
        <v>0</v>
      </c>
      <c r="X48" s="266">
        <v>0</v>
      </c>
      <c r="Y48" s="266">
        <v>0</v>
      </c>
      <c r="Z48" s="266">
        <v>0</v>
      </c>
      <c r="AA48" s="266">
        <v>0</v>
      </c>
      <c r="AB48" s="265">
        <f t="shared" si="12"/>
        <v>619.354838709677</v>
      </c>
      <c r="AC48" s="266"/>
      <c r="AD48" s="266"/>
      <c r="AE48" s="266"/>
      <c r="AF48" s="266"/>
      <c r="AG48" s="71"/>
      <c r="AH48" s="71"/>
      <c r="AI48" s="71"/>
      <c r="AJ48" s="71"/>
      <c r="AK48" s="71">
        <f t="shared" si="0"/>
        <v>619.354838709677</v>
      </c>
      <c r="AL48" s="71"/>
      <c r="AM48" s="91"/>
      <c r="AN48" s="71"/>
      <c r="AO48" s="71"/>
      <c r="AP48" s="71"/>
      <c r="AQ48" s="50">
        <f t="shared" si="13"/>
        <v>0</v>
      </c>
      <c r="AR48" s="50">
        <f t="shared" si="14"/>
        <v>619.354838709677</v>
      </c>
      <c r="AS48" s="266"/>
      <c r="AT48" s="310" t="s">
        <v>450</v>
      </c>
    </row>
    <row r="49" s="313" customFormat="1" ht="42" customHeight="1" spans="1:46">
      <c r="A49" s="321">
        <f t="shared" si="15"/>
        <v>46</v>
      </c>
      <c r="B49" s="326" t="s">
        <v>451</v>
      </c>
      <c r="C49" s="250" t="s">
        <v>273</v>
      </c>
      <c r="D49" s="243" t="s">
        <v>452</v>
      </c>
      <c r="E49" s="333" t="s">
        <v>65</v>
      </c>
      <c r="F49" s="270">
        <v>10</v>
      </c>
      <c r="G49" s="246">
        <v>0</v>
      </c>
      <c r="H49" s="246">
        <v>0</v>
      </c>
      <c r="I49" s="246">
        <v>0</v>
      </c>
      <c r="J49" s="251">
        <v>0</v>
      </c>
      <c r="K49" s="246">
        <v>0</v>
      </c>
      <c r="L49" s="246">
        <v>0</v>
      </c>
      <c r="M49" s="246">
        <v>0</v>
      </c>
      <c r="N49" s="246">
        <v>0</v>
      </c>
      <c r="O49" s="251" t="s">
        <v>453</v>
      </c>
      <c r="P49" s="246">
        <v>0</v>
      </c>
      <c r="Q49" s="246">
        <v>0</v>
      </c>
      <c r="R49" s="270">
        <v>0</v>
      </c>
      <c r="S49" s="341"/>
      <c r="T49" s="341"/>
      <c r="U49" s="340">
        <v>1900</v>
      </c>
      <c r="V49" s="265">
        <f>1900/31*10</f>
        <v>612.903225806452</v>
      </c>
      <c r="W49" s="266">
        <v>0</v>
      </c>
      <c r="X49" s="266">
        <v>0</v>
      </c>
      <c r="Y49" s="266">
        <v>0</v>
      </c>
      <c r="Z49" s="266">
        <v>0</v>
      </c>
      <c r="AA49" s="266">
        <v>0</v>
      </c>
      <c r="AB49" s="265">
        <f t="shared" si="12"/>
        <v>612.903225806452</v>
      </c>
      <c r="AC49" s="266"/>
      <c r="AD49" s="266"/>
      <c r="AE49" s="266"/>
      <c r="AF49" s="266"/>
      <c r="AG49" s="71"/>
      <c r="AH49" s="71"/>
      <c r="AI49" s="71"/>
      <c r="AJ49" s="71"/>
      <c r="AK49" s="71">
        <f t="shared" si="0"/>
        <v>612.903225806452</v>
      </c>
      <c r="AL49" s="71"/>
      <c r="AM49" s="91"/>
      <c r="AN49" s="71"/>
      <c r="AO49" s="71"/>
      <c r="AP49" s="71"/>
      <c r="AQ49" s="50">
        <f t="shared" si="13"/>
        <v>0</v>
      </c>
      <c r="AR49" s="50">
        <f t="shared" si="14"/>
        <v>612.903225806452</v>
      </c>
      <c r="AS49" s="266"/>
      <c r="AT49" s="310" t="s">
        <v>453</v>
      </c>
    </row>
    <row r="50" s="313" customFormat="1" ht="42" customHeight="1" spans="1:46">
      <c r="A50" s="321">
        <f t="shared" si="15"/>
        <v>47</v>
      </c>
      <c r="B50" s="326" t="s">
        <v>454</v>
      </c>
      <c r="C50" s="250" t="s">
        <v>267</v>
      </c>
      <c r="D50" s="243" t="s">
        <v>78</v>
      </c>
      <c r="E50" s="333" t="s">
        <v>65</v>
      </c>
      <c r="F50" s="270">
        <v>26</v>
      </c>
      <c r="G50" s="246">
        <v>0</v>
      </c>
      <c r="H50" s="246">
        <v>0</v>
      </c>
      <c r="I50" s="246">
        <v>0</v>
      </c>
      <c r="J50" s="251">
        <v>0</v>
      </c>
      <c r="K50" s="246">
        <v>0</v>
      </c>
      <c r="L50" s="246">
        <v>0</v>
      </c>
      <c r="M50" s="246">
        <v>0</v>
      </c>
      <c r="N50" s="246">
        <v>0</v>
      </c>
      <c r="O50" s="251" t="s">
        <v>455</v>
      </c>
      <c r="P50" s="246">
        <v>0</v>
      </c>
      <c r="Q50" s="246">
        <v>0</v>
      </c>
      <c r="R50" s="270">
        <v>0</v>
      </c>
      <c r="S50" s="341"/>
      <c r="T50" s="341"/>
      <c r="U50" s="340">
        <v>2300</v>
      </c>
      <c r="V50" s="265">
        <f>2300/31*26</f>
        <v>1929.03225806452</v>
      </c>
      <c r="W50" s="266">
        <v>0</v>
      </c>
      <c r="X50" s="266">
        <v>0</v>
      </c>
      <c r="Y50" s="266">
        <v>0</v>
      </c>
      <c r="Z50" s="266">
        <v>0</v>
      </c>
      <c r="AA50" s="266">
        <v>0</v>
      </c>
      <c r="AB50" s="265">
        <f t="shared" si="12"/>
        <v>1929.03225806452</v>
      </c>
      <c r="AC50" s="266"/>
      <c r="AD50" s="266"/>
      <c r="AE50" s="266"/>
      <c r="AF50" s="266"/>
      <c r="AG50" s="71"/>
      <c r="AH50" s="71"/>
      <c r="AI50" s="71"/>
      <c r="AJ50" s="71"/>
      <c r="AK50" s="71">
        <f t="shared" si="0"/>
        <v>1929.03225806452</v>
      </c>
      <c r="AL50" s="71"/>
      <c r="AM50" s="91"/>
      <c r="AN50" s="71"/>
      <c r="AO50" s="71"/>
      <c r="AP50" s="71"/>
      <c r="AQ50" s="50">
        <f t="shared" si="13"/>
        <v>0</v>
      </c>
      <c r="AR50" s="50">
        <f t="shared" si="14"/>
        <v>1929.03225806452</v>
      </c>
      <c r="AS50" s="266"/>
      <c r="AT50" s="310" t="s">
        <v>455</v>
      </c>
    </row>
    <row r="51" s="314" customFormat="1" ht="42" customHeight="1" spans="1:46">
      <c r="A51" s="321">
        <f t="shared" si="15"/>
        <v>48</v>
      </c>
      <c r="B51" s="255" t="s">
        <v>456</v>
      </c>
      <c r="C51" s="250" t="s">
        <v>267</v>
      </c>
      <c r="D51" s="243" t="s">
        <v>457</v>
      </c>
      <c r="E51" s="333" t="s">
        <v>65</v>
      </c>
      <c r="F51" s="250">
        <v>25</v>
      </c>
      <c r="G51" s="251">
        <v>0</v>
      </c>
      <c r="H51" s="251">
        <v>0</v>
      </c>
      <c r="I51" s="251">
        <v>0</v>
      </c>
      <c r="J51" s="251">
        <v>0</v>
      </c>
      <c r="K51" s="251">
        <v>0</v>
      </c>
      <c r="L51" s="251">
        <v>0</v>
      </c>
      <c r="M51" s="251">
        <v>0</v>
      </c>
      <c r="N51" s="251">
        <v>0</v>
      </c>
      <c r="O51" s="251" t="s">
        <v>458</v>
      </c>
      <c r="P51" s="251">
        <v>0</v>
      </c>
      <c r="Q51" s="251">
        <v>0</v>
      </c>
      <c r="R51" s="250">
        <v>0</v>
      </c>
      <c r="S51" s="342"/>
      <c r="T51" s="342"/>
      <c r="U51" s="269">
        <v>2200</v>
      </c>
      <c r="V51" s="265">
        <f>2200/31*25</f>
        <v>1774.1935483871</v>
      </c>
      <c r="W51" s="265">
        <v>0</v>
      </c>
      <c r="X51" s="265">
        <v>0</v>
      </c>
      <c r="Y51" s="265">
        <v>0</v>
      </c>
      <c r="Z51" s="265">
        <v>0</v>
      </c>
      <c r="AA51" s="265">
        <v>0</v>
      </c>
      <c r="AB51" s="265">
        <f t="shared" si="12"/>
        <v>1774.1935483871</v>
      </c>
      <c r="AC51" s="265"/>
      <c r="AD51" s="265"/>
      <c r="AE51" s="265"/>
      <c r="AF51" s="265"/>
      <c r="AG51" s="50"/>
      <c r="AH51" s="50"/>
      <c r="AI51" s="50"/>
      <c r="AJ51" s="50"/>
      <c r="AK51" s="50">
        <f t="shared" si="0"/>
        <v>1774.1935483871</v>
      </c>
      <c r="AL51" s="50"/>
      <c r="AM51" s="350"/>
      <c r="AN51" s="50"/>
      <c r="AO51" s="50"/>
      <c r="AP51" s="50"/>
      <c r="AQ51" s="50">
        <f t="shared" si="13"/>
        <v>0</v>
      </c>
      <c r="AR51" s="50">
        <f t="shared" si="14"/>
        <v>1774.1935483871</v>
      </c>
      <c r="AS51" s="265"/>
      <c r="AT51" s="310" t="s">
        <v>458</v>
      </c>
    </row>
    <row r="52" s="314" customFormat="1" ht="42" customHeight="1" spans="1:46">
      <c r="A52" s="321">
        <f t="shared" si="15"/>
        <v>49</v>
      </c>
      <c r="B52" s="255" t="s">
        <v>459</v>
      </c>
      <c r="C52" s="250" t="s">
        <v>267</v>
      </c>
      <c r="D52" s="243" t="s">
        <v>457</v>
      </c>
      <c r="E52" s="333" t="s">
        <v>65</v>
      </c>
      <c r="F52" s="250">
        <v>25</v>
      </c>
      <c r="G52" s="251">
        <v>0</v>
      </c>
      <c r="H52" s="251">
        <v>0</v>
      </c>
      <c r="I52" s="251">
        <v>0</v>
      </c>
      <c r="J52" s="251">
        <v>0</v>
      </c>
      <c r="K52" s="251">
        <v>0</v>
      </c>
      <c r="L52" s="251">
        <v>0</v>
      </c>
      <c r="M52" s="251">
        <v>0</v>
      </c>
      <c r="N52" s="251">
        <v>0</v>
      </c>
      <c r="O52" s="251" t="s">
        <v>458</v>
      </c>
      <c r="P52" s="251">
        <v>0</v>
      </c>
      <c r="Q52" s="251">
        <v>0</v>
      </c>
      <c r="R52" s="250">
        <v>0</v>
      </c>
      <c r="S52" s="342"/>
      <c r="T52" s="342"/>
      <c r="U52" s="269">
        <v>2500</v>
      </c>
      <c r="V52" s="265">
        <f>2500/31*25</f>
        <v>2016.12903225806</v>
      </c>
      <c r="W52" s="265">
        <v>0</v>
      </c>
      <c r="X52" s="265">
        <v>0</v>
      </c>
      <c r="Y52" s="265">
        <v>0</v>
      </c>
      <c r="Z52" s="265">
        <v>0</v>
      </c>
      <c r="AA52" s="265">
        <v>0</v>
      </c>
      <c r="AB52" s="265">
        <f t="shared" si="12"/>
        <v>2016.12903225806</v>
      </c>
      <c r="AC52" s="265"/>
      <c r="AD52" s="265"/>
      <c r="AE52" s="265"/>
      <c r="AF52" s="265"/>
      <c r="AG52" s="50"/>
      <c r="AH52" s="50"/>
      <c r="AI52" s="50"/>
      <c r="AJ52" s="50"/>
      <c r="AK52" s="50">
        <f t="shared" si="0"/>
        <v>2016.12903225806</v>
      </c>
      <c r="AL52" s="50"/>
      <c r="AM52" s="350"/>
      <c r="AN52" s="50"/>
      <c r="AO52" s="50"/>
      <c r="AP52" s="50"/>
      <c r="AQ52" s="50">
        <f t="shared" si="13"/>
        <v>0</v>
      </c>
      <c r="AR52" s="50">
        <f t="shared" si="14"/>
        <v>2016.12903225806</v>
      </c>
      <c r="AS52" s="265"/>
      <c r="AT52" s="310" t="s">
        <v>458</v>
      </c>
    </row>
    <row r="53" s="314" customFormat="1" ht="42" customHeight="1" spans="1:46">
      <c r="A53" s="321">
        <f t="shared" si="15"/>
        <v>50</v>
      </c>
      <c r="B53" s="255" t="s">
        <v>460</v>
      </c>
      <c r="C53" s="250" t="s">
        <v>267</v>
      </c>
      <c r="D53" s="243" t="s">
        <v>457</v>
      </c>
      <c r="E53" s="333" t="s">
        <v>65</v>
      </c>
      <c r="F53" s="250">
        <v>25</v>
      </c>
      <c r="G53" s="251">
        <v>0</v>
      </c>
      <c r="H53" s="251">
        <v>0</v>
      </c>
      <c r="I53" s="251">
        <v>0</v>
      </c>
      <c r="J53" s="251">
        <v>0</v>
      </c>
      <c r="K53" s="251">
        <v>0</v>
      </c>
      <c r="L53" s="251">
        <v>0</v>
      </c>
      <c r="M53" s="251">
        <v>0</v>
      </c>
      <c r="N53" s="251">
        <v>0</v>
      </c>
      <c r="O53" s="251" t="s">
        <v>458</v>
      </c>
      <c r="P53" s="251">
        <v>0</v>
      </c>
      <c r="Q53" s="251">
        <v>0</v>
      </c>
      <c r="R53" s="250">
        <v>0</v>
      </c>
      <c r="S53" s="342"/>
      <c r="T53" s="342"/>
      <c r="U53" s="269">
        <v>2200</v>
      </c>
      <c r="V53" s="265">
        <f>2200/31*25</f>
        <v>1774.1935483871</v>
      </c>
      <c r="W53" s="265">
        <v>0</v>
      </c>
      <c r="X53" s="265">
        <v>0</v>
      </c>
      <c r="Y53" s="265">
        <v>0</v>
      </c>
      <c r="Z53" s="265">
        <v>0</v>
      </c>
      <c r="AA53" s="265">
        <v>0</v>
      </c>
      <c r="AB53" s="265">
        <f t="shared" si="12"/>
        <v>1774.1935483871</v>
      </c>
      <c r="AC53" s="265"/>
      <c r="AD53" s="265"/>
      <c r="AE53" s="265"/>
      <c r="AF53" s="265"/>
      <c r="AG53" s="50"/>
      <c r="AH53" s="50"/>
      <c r="AI53" s="50"/>
      <c r="AJ53" s="50"/>
      <c r="AK53" s="50">
        <f t="shared" si="0"/>
        <v>1774.1935483871</v>
      </c>
      <c r="AL53" s="50"/>
      <c r="AM53" s="350"/>
      <c r="AN53" s="50"/>
      <c r="AO53" s="50"/>
      <c r="AP53" s="50"/>
      <c r="AQ53" s="50">
        <f t="shared" si="13"/>
        <v>0</v>
      </c>
      <c r="AR53" s="50">
        <f t="shared" si="14"/>
        <v>1774.1935483871</v>
      </c>
      <c r="AS53" s="265"/>
      <c r="AT53" s="310" t="s">
        <v>458</v>
      </c>
    </row>
    <row r="54" s="314" customFormat="1" ht="42" customHeight="1" spans="1:46">
      <c r="A54" s="321">
        <f t="shared" si="15"/>
        <v>51</v>
      </c>
      <c r="B54" s="255" t="s">
        <v>461</v>
      </c>
      <c r="C54" s="250" t="s">
        <v>267</v>
      </c>
      <c r="D54" s="243" t="s">
        <v>457</v>
      </c>
      <c r="E54" s="333" t="s">
        <v>65</v>
      </c>
      <c r="F54" s="250">
        <v>25</v>
      </c>
      <c r="G54" s="251">
        <v>0</v>
      </c>
      <c r="H54" s="251">
        <v>0</v>
      </c>
      <c r="I54" s="251">
        <v>0</v>
      </c>
      <c r="J54" s="251">
        <v>0</v>
      </c>
      <c r="K54" s="251">
        <v>0</v>
      </c>
      <c r="L54" s="251">
        <v>0</v>
      </c>
      <c r="M54" s="251">
        <v>0</v>
      </c>
      <c r="N54" s="251">
        <v>0</v>
      </c>
      <c r="O54" s="251" t="s">
        <v>458</v>
      </c>
      <c r="P54" s="251">
        <v>0</v>
      </c>
      <c r="Q54" s="251">
        <v>0</v>
      </c>
      <c r="R54" s="250">
        <v>0</v>
      </c>
      <c r="S54" s="342"/>
      <c r="T54" s="342"/>
      <c r="U54" s="269">
        <v>2300</v>
      </c>
      <c r="V54" s="265">
        <f>2300/31*25</f>
        <v>1854.83870967742</v>
      </c>
      <c r="W54" s="265">
        <v>0</v>
      </c>
      <c r="X54" s="265">
        <v>0</v>
      </c>
      <c r="Y54" s="265">
        <v>0</v>
      </c>
      <c r="Z54" s="265">
        <v>0</v>
      </c>
      <c r="AA54" s="265">
        <v>0</v>
      </c>
      <c r="AB54" s="265">
        <f t="shared" si="12"/>
        <v>1854.83870967742</v>
      </c>
      <c r="AC54" s="265"/>
      <c r="AD54" s="265"/>
      <c r="AE54" s="265"/>
      <c r="AF54" s="265"/>
      <c r="AG54" s="50"/>
      <c r="AH54" s="50"/>
      <c r="AI54" s="50"/>
      <c r="AJ54" s="50"/>
      <c r="AK54" s="50">
        <f t="shared" si="0"/>
        <v>1854.83870967742</v>
      </c>
      <c r="AL54" s="50"/>
      <c r="AM54" s="350"/>
      <c r="AN54" s="50"/>
      <c r="AO54" s="50"/>
      <c r="AP54" s="50"/>
      <c r="AQ54" s="50">
        <f t="shared" si="13"/>
        <v>0</v>
      </c>
      <c r="AR54" s="50">
        <f t="shared" si="14"/>
        <v>1854.83870967742</v>
      </c>
      <c r="AS54" s="265"/>
      <c r="AT54" s="310" t="s">
        <v>458</v>
      </c>
    </row>
    <row r="55" s="314" customFormat="1" ht="42" customHeight="1" spans="1:46">
      <c r="A55" s="321">
        <f t="shared" si="15"/>
        <v>52</v>
      </c>
      <c r="B55" s="255" t="s">
        <v>462</v>
      </c>
      <c r="C55" s="250" t="s">
        <v>267</v>
      </c>
      <c r="D55" s="243" t="s">
        <v>463</v>
      </c>
      <c r="E55" s="333" t="s">
        <v>65</v>
      </c>
      <c r="F55" s="250">
        <v>23</v>
      </c>
      <c r="G55" s="251">
        <v>0</v>
      </c>
      <c r="H55" s="251">
        <v>0</v>
      </c>
      <c r="I55" s="251">
        <v>0</v>
      </c>
      <c r="J55" s="251">
        <v>0</v>
      </c>
      <c r="K55" s="251">
        <v>0</v>
      </c>
      <c r="L55" s="251">
        <v>0</v>
      </c>
      <c r="M55" s="251">
        <v>0</v>
      </c>
      <c r="N55" s="251">
        <v>0</v>
      </c>
      <c r="O55" s="251" t="s">
        <v>464</v>
      </c>
      <c r="P55" s="251">
        <v>0</v>
      </c>
      <c r="Q55" s="251">
        <v>0</v>
      </c>
      <c r="R55" s="250">
        <v>0</v>
      </c>
      <c r="S55" s="342"/>
      <c r="T55" s="342"/>
      <c r="U55" s="269">
        <v>2300</v>
      </c>
      <c r="V55" s="265">
        <f>2300/31*23</f>
        <v>1706.45161290323</v>
      </c>
      <c r="W55" s="265">
        <v>0</v>
      </c>
      <c r="X55" s="265">
        <v>0</v>
      </c>
      <c r="Y55" s="265">
        <v>0</v>
      </c>
      <c r="Z55" s="265">
        <v>0</v>
      </c>
      <c r="AA55" s="265">
        <v>0</v>
      </c>
      <c r="AB55" s="265">
        <f t="shared" si="12"/>
        <v>1706.45161290323</v>
      </c>
      <c r="AC55" s="265"/>
      <c r="AD55" s="265"/>
      <c r="AE55" s="265"/>
      <c r="AF55" s="265"/>
      <c r="AG55" s="50"/>
      <c r="AH55" s="50"/>
      <c r="AI55" s="50"/>
      <c r="AJ55" s="50"/>
      <c r="AK55" s="50">
        <f t="shared" si="0"/>
        <v>1706.45161290323</v>
      </c>
      <c r="AL55" s="50"/>
      <c r="AM55" s="350"/>
      <c r="AN55" s="50"/>
      <c r="AO55" s="50"/>
      <c r="AP55" s="50"/>
      <c r="AQ55" s="50">
        <f t="shared" si="13"/>
        <v>0</v>
      </c>
      <c r="AR55" s="50">
        <f t="shared" si="14"/>
        <v>1706.45161290323</v>
      </c>
      <c r="AS55" s="265"/>
      <c r="AT55" s="310" t="s">
        <v>464</v>
      </c>
    </row>
    <row r="56" s="314" customFormat="1" ht="42" customHeight="1" spans="1:46">
      <c r="A56" s="321">
        <f t="shared" si="15"/>
        <v>53</v>
      </c>
      <c r="B56" s="255" t="s">
        <v>465</v>
      </c>
      <c r="C56" s="250" t="s">
        <v>267</v>
      </c>
      <c r="D56" s="243" t="s">
        <v>466</v>
      </c>
      <c r="E56" s="333" t="s">
        <v>65</v>
      </c>
      <c r="F56" s="250">
        <v>5</v>
      </c>
      <c r="G56" s="251">
        <v>0</v>
      </c>
      <c r="H56" s="251">
        <v>0</v>
      </c>
      <c r="I56" s="251">
        <v>0</v>
      </c>
      <c r="J56" s="251">
        <v>0</v>
      </c>
      <c r="K56" s="251">
        <v>0</v>
      </c>
      <c r="L56" s="251">
        <v>0</v>
      </c>
      <c r="M56" s="251">
        <v>0</v>
      </c>
      <c r="N56" s="251">
        <v>0</v>
      </c>
      <c r="O56" s="251" t="s">
        <v>467</v>
      </c>
      <c r="P56" s="251">
        <v>0</v>
      </c>
      <c r="Q56" s="251">
        <v>0</v>
      </c>
      <c r="R56" s="250">
        <v>0</v>
      </c>
      <c r="S56" s="342"/>
      <c r="T56" s="342"/>
      <c r="U56" s="269">
        <v>2300</v>
      </c>
      <c r="V56" s="265">
        <f>2300/31*5</f>
        <v>370.967741935484</v>
      </c>
      <c r="W56" s="265">
        <v>0</v>
      </c>
      <c r="X56" s="265">
        <v>0</v>
      </c>
      <c r="Y56" s="265">
        <v>0</v>
      </c>
      <c r="Z56" s="265">
        <v>0</v>
      </c>
      <c r="AA56" s="265">
        <v>0</v>
      </c>
      <c r="AB56" s="265">
        <f t="shared" si="12"/>
        <v>370.967741935484</v>
      </c>
      <c r="AC56" s="265"/>
      <c r="AD56" s="265"/>
      <c r="AE56" s="265"/>
      <c r="AF56" s="265"/>
      <c r="AG56" s="50"/>
      <c r="AH56" s="50"/>
      <c r="AI56" s="50"/>
      <c r="AJ56" s="50"/>
      <c r="AK56" s="50">
        <f t="shared" si="0"/>
        <v>370.967741935484</v>
      </c>
      <c r="AL56" s="50"/>
      <c r="AM56" s="350"/>
      <c r="AN56" s="50"/>
      <c r="AO56" s="50"/>
      <c r="AP56" s="50"/>
      <c r="AQ56" s="50">
        <f t="shared" si="13"/>
        <v>0</v>
      </c>
      <c r="AR56" s="50">
        <f t="shared" si="14"/>
        <v>370.967741935484</v>
      </c>
      <c r="AS56" s="265"/>
      <c r="AT56" s="310" t="s">
        <v>467</v>
      </c>
    </row>
    <row r="57" s="313" customFormat="1" ht="42" customHeight="1" spans="1:46">
      <c r="A57" s="321">
        <f t="shared" si="15"/>
        <v>54</v>
      </c>
      <c r="B57" s="327" t="s">
        <v>468</v>
      </c>
      <c r="C57" s="250" t="s">
        <v>267</v>
      </c>
      <c r="D57" s="243" t="s">
        <v>71</v>
      </c>
      <c r="E57" s="258" t="s">
        <v>107</v>
      </c>
      <c r="F57" s="270">
        <v>20</v>
      </c>
      <c r="G57" s="246">
        <v>0</v>
      </c>
      <c r="H57" s="246">
        <v>0</v>
      </c>
      <c r="I57" s="246">
        <v>0</v>
      </c>
      <c r="J57" s="251">
        <v>0</v>
      </c>
      <c r="K57" s="246">
        <v>0</v>
      </c>
      <c r="L57" s="246">
        <v>0</v>
      </c>
      <c r="M57" s="246">
        <v>0</v>
      </c>
      <c r="N57" s="246">
        <v>0</v>
      </c>
      <c r="O57" s="261" t="s">
        <v>469</v>
      </c>
      <c r="P57" s="246">
        <v>0</v>
      </c>
      <c r="Q57" s="246">
        <v>0</v>
      </c>
      <c r="R57" s="270">
        <v>0</v>
      </c>
      <c r="S57" s="343"/>
      <c r="T57" s="343"/>
      <c r="U57" s="340">
        <v>2300</v>
      </c>
      <c r="V57" s="265">
        <f>2300/31*20</f>
        <v>1483.87096774194</v>
      </c>
      <c r="W57" s="266">
        <v>0</v>
      </c>
      <c r="X57" s="266">
        <v>0</v>
      </c>
      <c r="Y57" s="266">
        <v>0</v>
      </c>
      <c r="Z57" s="266">
        <v>0</v>
      </c>
      <c r="AA57" s="266">
        <v>0</v>
      </c>
      <c r="AB57" s="265">
        <f t="shared" si="12"/>
        <v>1483.87096774194</v>
      </c>
      <c r="AC57" s="266"/>
      <c r="AD57" s="266"/>
      <c r="AE57" s="266"/>
      <c r="AF57" s="266"/>
      <c r="AG57" s="71"/>
      <c r="AH57" s="71"/>
      <c r="AI57" s="71"/>
      <c r="AJ57" s="71"/>
      <c r="AK57" s="71">
        <f t="shared" si="0"/>
        <v>1483.87096774194</v>
      </c>
      <c r="AL57" s="71"/>
      <c r="AM57" s="91"/>
      <c r="AN57" s="71"/>
      <c r="AO57" s="71"/>
      <c r="AP57" s="71"/>
      <c r="AQ57" s="50">
        <f t="shared" si="13"/>
        <v>0</v>
      </c>
      <c r="AR57" s="50">
        <f t="shared" si="14"/>
        <v>1483.87096774194</v>
      </c>
      <c r="AS57" s="266"/>
      <c r="AT57" s="310" t="s">
        <v>469</v>
      </c>
    </row>
    <row r="58" s="313" customFormat="1" ht="42" customHeight="1" spans="1:46">
      <c r="A58" s="321">
        <f t="shared" si="15"/>
        <v>55</v>
      </c>
      <c r="B58" s="327" t="s">
        <v>470</v>
      </c>
      <c r="C58" s="250" t="s">
        <v>267</v>
      </c>
      <c r="D58" s="243" t="s">
        <v>471</v>
      </c>
      <c r="E58" s="258" t="s">
        <v>107</v>
      </c>
      <c r="F58" s="270">
        <v>11</v>
      </c>
      <c r="G58" s="246">
        <v>0</v>
      </c>
      <c r="H58" s="246">
        <v>0</v>
      </c>
      <c r="I58" s="246">
        <v>0</v>
      </c>
      <c r="J58" s="251">
        <v>0</v>
      </c>
      <c r="K58" s="246">
        <v>0</v>
      </c>
      <c r="L58" s="246">
        <v>0</v>
      </c>
      <c r="M58" s="246">
        <v>0</v>
      </c>
      <c r="N58" s="246">
        <v>0</v>
      </c>
      <c r="O58" s="261" t="s">
        <v>472</v>
      </c>
      <c r="P58" s="246">
        <v>0</v>
      </c>
      <c r="Q58" s="246">
        <v>0</v>
      </c>
      <c r="R58" s="270">
        <v>0</v>
      </c>
      <c r="S58" s="343"/>
      <c r="T58" s="343"/>
      <c r="U58" s="340">
        <v>2300</v>
      </c>
      <c r="V58" s="265">
        <f>2300/31*11</f>
        <v>816.129032258064</v>
      </c>
      <c r="W58" s="266">
        <v>0</v>
      </c>
      <c r="X58" s="266">
        <v>0</v>
      </c>
      <c r="Y58" s="266">
        <v>0</v>
      </c>
      <c r="Z58" s="266">
        <v>0</v>
      </c>
      <c r="AA58" s="266">
        <v>0</v>
      </c>
      <c r="AB58" s="265">
        <f t="shared" si="12"/>
        <v>816.129032258064</v>
      </c>
      <c r="AC58" s="266"/>
      <c r="AD58" s="266"/>
      <c r="AE58" s="266"/>
      <c r="AF58" s="266"/>
      <c r="AG58" s="71"/>
      <c r="AH58" s="71"/>
      <c r="AI58" s="71"/>
      <c r="AJ58" s="71"/>
      <c r="AK58" s="71">
        <f t="shared" si="0"/>
        <v>816.129032258064</v>
      </c>
      <c r="AL58" s="71"/>
      <c r="AM58" s="91"/>
      <c r="AN58" s="71"/>
      <c r="AO58" s="71"/>
      <c r="AP58" s="71"/>
      <c r="AQ58" s="50">
        <f t="shared" si="13"/>
        <v>0</v>
      </c>
      <c r="AR58" s="50">
        <f t="shared" si="14"/>
        <v>816.129032258064</v>
      </c>
      <c r="AS58" s="266"/>
      <c r="AT58" s="310" t="s">
        <v>473</v>
      </c>
    </row>
    <row r="59" s="313" customFormat="1" ht="42" customHeight="1" spans="1:46">
      <c r="A59" s="321">
        <f t="shared" si="15"/>
        <v>56</v>
      </c>
      <c r="B59" s="327" t="s">
        <v>304</v>
      </c>
      <c r="C59" s="250" t="s">
        <v>273</v>
      </c>
      <c r="D59" s="243" t="s">
        <v>71</v>
      </c>
      <c r="E59" s="258" t="s">
        <v>107</v>
      </c>
      <c r="F59" s="270">
        <v>31</v>
      </c>
      <c r="G59" s="246">
        <v>0</v>
      </c>
      <c r="H59" s="246">
        <v>0</v>
      </c>
      <c r="I59" s="246">
        <v>0</v>
      </c>
      <c r="J59" s="251">
        <v>0</v>
      </c>
      <c r="K59" s="246">
        <v>0</v>
      </c>
      <c r="L59" s="246">
        <v>0</v>
      </c>
      <c r="M59" s="246">
        <v>0</v>
      </c>
      <c r="N59" s="246">
        <v>0</v>
      </c>
      <c r="O59" s="261" t="s">
        <v>474</v>
      </c>
      <c r="P59" s="246">
        <v>0</v>
      </c>
      <c r="Q59" s="246">
        <v>0</v>
      </c>
      <c r="R59" s="270">
        <v>0</v>
      </c>
      <c r="S59" s="343"/>
      <c r="T59" s="343"/>
      <c r="U59" s="340">
        <v>1900</v>
      </c>
      <c r="V59" s="265">
        <v>1300</v>
      </c>
      <c r="W59" s="266">
        <v>100</v>
      </c>
      <c r="X59" s="266">
        <v>100</v>
      </c>
      <c r="Y59" s="266">
        <v>100</v>
      </c>
      <c r="Z59" s="266">
        <v>200</v>
      </c>
      <c r="AA59" s="266">
        <v>100</v>
      </c>
      <c r="AB59" s="265">
        <f t="shared" si="12"/>
        <v>1900</v>
      </c>
      <c r="AC59" s="266"/>
      <c r="AD59" s="266"/>
      <c r="AE59" s="266"/>
      <c r="AF59" s="266"/>
      <c r="AG59" s="71"/>
      <c r="AH59" s="71"/>
      <c r="AI59" s="71"/>
      <c r="AJ59" s="71"/>
      <c r="AK59" s="71">
        <f t="shared" si="0"/>
        <v>1900</v>
      </c>
      <c r="AL59" s="71"/>
      <c r="AM59" s="91"/>
      <c r="AN59" s="71"/>
      <c r="AO59" s="71"/>
      <c r="AP59" s="71"/>
      <c r="AQ59" s="50">
        <f t="shared" si="13"/>
        <v>0</v>
      </c>
      <c r="AR59" s="50">
        <f t="shared" si="14"/>
        <v>1900</v>
      </c>
      <c r="AS59" s="266"/>
      <c r="AT59" s="310" t="s">
        <v>475</v>
      </c>
    </row>
    <row r="60" s="224" customFormat="1" ht="34" customHeight="1" spans="1:46">
      <c r="A60" s="334"/>
      <c r="B60" s="335"/>
      <c r="C60" s="335"/>
      <c r="D60" s="335"/>
      <c r="E60" s="336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246"/>
      <c r="Q60" s="246"/>
      <c r="R60" s="344"/>
      <c r="S60" s="341"/>
      <c r="T60" s="341"/>
      <c r="U60" s="341"/>
      <c r="V60" s="66">
        <f>SUM(V4:V59)</f>
        <v>74025.8064516129</v>
      </c>
      <c r="W60" s="66">
        <f t="shared" ref="W60:AR60" si="16">SUM(W4:W59)</f>
        <v>6850</v>
      </c>
      <c r="X60" s="66">
        <f t="shared" si="16"/>
        <v>5700</v>
      </c>
      <c r="Y60" s="66">
        <f t="shared" si="16"/>
        <v>5600</v>
      </c>
      <c r="Z60" s="66">
        <f t="shared" si="16"/>
        <v>6600</v>
      </c>
      <c r="AA60" s="66">
        <f t="shared" si="16"/>
        <v>4900</v>
      </c>
      <c r="AB60" s="66">
        <f t="shared" si="16"/>
        <v>103675.806451613</v>
      </c>
      <c r="AC60" s="66">
        <f t="shared" si="16"/>
        <v>1416.12</v>
      </c>
      <c r="AD60" s="66">
        <f t="shared" si="16"/>
        <v>0</v>
      </c>
      <c r="AE60" s="66">
        <f t="shared" si="16"/>
        <v>0</v>
      </c>
      <c r="AF60" s="66">
        <f t="shared" si="16"/>
        <v>0</v>
      </c>
      <c r="AG60" s="66">
        <f t="shared" si="16"/>
        <v>0</v>
      </c>
      <c r="AH60" s="66">
        <f t="shared" si="16"/>
        <v>0</v>
      </c>
      <c r="AI60" s="66">
        <f t="shared" si="16"/>
        <v>0</v>
      </c>
      <c r="AJ60" s="66">
        <f t="shared" si="16"/>
        <v>500</v>
      </c>
      <c r="AK60" s="66">
        <f t="shared" si="16"/>
        <v>105591.926451613</v>
      </c>
      <c r="AL60" s="66">
        <f t="shared" si="16"/>
        <v>33</v>
      </c>
      <c r="AM60" s="66">
        <f t="shared" si="16"/>
        <v>2306.44806451613</v>
      </c>
      <c r="AN60" s="66">
        <f t="shared" si="16"/>
        <v>0</v>
      </c>
      <c r="AO60" s="66">
        <f t="shared" si="16"/>
        <v>1612.2</v>
      </c>
      <c r="AP60" s="66">
        <f t="shared" si="16"/>
        <v>0</v>
      </c>
      <c r="AQ60" s="66">
        <f t="shared" si="16"/>
        <v>3918.64806451613</v>
      </c>
      <c r="AR60" s="66">
        <f t="shared" si="16"/>
        <v>101673.278387097</v>
      </c>
      <c r="AS60" s="66"/>
      <c r="AT60" s="354"/>
    </row>
    <row r="63" s="228" customFormat="1" spans="1:31">
      <c r="A63" s="304" t="s">
        <v>476</v>
      </c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</row>
  </sheetData>
  <mergeCells count="46">
    <mergeCell ref="A1:AT1"/>
    <mergeCell ref="A63:AE6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7">
    <cfRule type="duplicateValues" dxfId="0" priority="6"/>
  </conditionalFormatting>
  <conditionalFormatting sqref="B30:B32">
    <cfRule type="duplicateValues" dxfId="0" priority="7"/>
  </conditionalFormatting>
  <conditionalFormatting sqref="B1:B62 B64:B1048576">
    <cfRule type="duplicateValues" dxfId="0" priority="5"/>
  </conditionalFormatting>
  <conditionalFormatting sqref="B8:B27 B4:B6">
    <cfRule type="duplicateValues" dxfId="0" priority="8"/>
  </conditionalFormatting>
  <pageMargins left="0.75" right="0.75" top="1" bottom="1" header="0.5" footer="0.5"/>
  <headerFooter/>
  <ignoredErrors>
    <ignoredError sqref="AB4:AB5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64"/>
  <sheetViews>
    <sheetView workbookViewId="0">
      <pane xSplit="6" ySplit="3" topLeftCell="G134" activePane="bottomRight" state="frozen"/>
      <selection/>
      <selection pane="topRight"/>
      <selection pane="bottomLeft"/>
      <selection pane="bottomRight" activeCell="AI171" sqref="AI171"/>
    </sheetView>
  </sheetViews>
  <sheetFormatPr defaultColWidth="8.30833333333333" defaultRowHeight="14.25"/>
  <cols>
    <col min="1" max="1" width="8.54166666666667" style="229" customWidth="1"/>
    <col min="2" max="2" width="8.54166666666667" style="224" customWidth="1"/>
    <col min="3" max="3" width="8.54166666666667" style="226" hidden="1" customWidth="1"/>
    <col min="4" max="4" width="13.125" style="224" hidden="1" customWidth="1"/>
    <col min="5" max="5" width="8.54166666666667" style="230" hidden="1" customWidth="1"/>
    <col min="6" max="6" width="8.43333333333333" style="224" hidden="1" customWidth="1"/>
    <col min="7" max="14" width="8.54166666666667" style="224" hidden="1" customWidth="1"/>
    <col min="15" max="15" width="34.375" style="224" hidden="1" customWidth="1"/>
    <col min="16" max="17" width="8.54166666666667" style="224" hidden="1" customWidth="1"/>
    <col min="18" max="18" width="6.375" style="224" hidden="1" customWidth="1"/>
    <col min="19" max="20" width="8.625" style="224" hidden="1" customWidth="1"/>
    <col min="21" max="21" width="13.15" style="224" hidden="1" customWidth="1"/>
    <col min="22" max="22" width="11.075" style="224" hidden="1" customWidth="1"/>
    <col min="23" max="23" width="12.7333333333333" style="224" hidden="1" customWidth="1"/>
    <col min="24" max="28" width="11.0333333333333" style="224" hidden="1" customWidth="1"/>
    <col min="29" max="29" width="11.0333333333333" style="224" customWidth="1"/>
    <col min="30" max="30" width="9.725" style="230" customWidth="1"/>
    <col min="31" max="35" width="8.54166666666667" style="224" customWidth="1"/>
    <col min="36" max="36" width="9.25" style="224" customWidth="1"/>
    <col min="37" max="37" width="11.5416666666667" style="224" customWidth="1"/>
    <col min="38" max="38" width="8.54166666666667" style="224" customWidth="1"/>
    <col min="39" max="39" width="11.3333333333333" style="224" customWidth="1"/>
    <col min="40" max="42" width="8.54166666666667" style="224" customWidth="1"/>
    <col min="43" max="43" width="11.4333333333333" style="224" customWidth="1"/>
    <col min="44" max="44" width="12.2333333333333" style="224" customWidth="1"/>
    <col min="45" max="45" width="8.54166666666667" style="224" customWidth="1"/>
    <col min="46" max="46" width="30.125" style="231" customWidth="1"/>
    <col min="47" max="47" width="11.75" style="224" customWidth="1"/>
    <col min="48" max="254" width="8.54166666666667" style="224" customWidth="1"/>
    <col min="255" max="255" width="8.54166666666667" style="224"/>
    <col min="256" max="16384" width="8.30833333333333" style="224"/>
  </cols>
  <sheetData>
    <row r="1" s="224" customFormat="1" ht="30" customHeight="1" spans="1:46">
      <c r="A1" s="232" t="s">
        <v>477</v>
      </c>
      <c r="B1" s="23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1"/>
    </row>
    <row r="2" s="224" customFormat="1" ht="30" customHeight="1" spans="1:46">
      <c r="A2" s="11" t="s">
        <v>0</v>
      </c>
      <c r="B2" s="43" t="s">
        <v>1</v>
      </c>
      <c r="C2" s="234" t="s">
        <v>2</v>
      </c>
      <c r="D2" s="235" t="s">
        <v>3</v>
      </c>
      <c r="E2" s="235" t="s">
        <v>4</v>
      </c>
      <c r="F2" s="235" t="s">
        <v>5</v>
      </c>
      <c r="G2" s="235" t="s">
        <v>203</v>
      </c>
      <c r="H2" s="236" t="s">
        <v>7</v>
      </c>
      <c r="I2" s="235" t="s">
        <v>8</v>
      </c>
      <c r="J2" s="235" t="s">
        <v>9</v>
      </c>
      <c r="K2" s="235" t="s">
        <v>10</v>
      </c>
      <c r="L2" s="235" t="s">
        <v>11</v>
      </c>
      <c r="M2" s="235" t="s">
        <v>12</v>
      </c>
      <c r="N2" s="235" t="s">
        <v>13</v>
      </c>
      <c r="O2" s="235" t="s">
        <v>14</v>
      </c>
      <c r="P2" s="235" t="s">
        <v>15</v>
      </c>
      <c r="Q2" s="235" t="s">
        <v>16</v>
      </c>
      <c r="R2" s="235" t="s">
        <v>17</v>
      </c>
      <c r="S2" s="236" t="s">
        <v>18</v>
      </c>
      <c r="T2" s="235" t="s">
        <v>95</v>
      </c>
      <c r="U2" s="236"/>
      <c r="V2" s="44" t="s">
        <v>21</v>
      </c>
      <c r="W2" s="44" t="s">
        <v>22</v>
      </c>
      <c r="X2" s="44" t="s">
        <v>23</v>
      </c>
      <c r="Y2" s="44" t="s">
        <v>24</v>
      </c>
      <c r="Z2" s="44" t="s">
        <v>25</v>
      </c>
      <c r="AA2" s="44" t="s">
        <v>26</v>
      </c>
      <c r="AB2" s="44" t="s">
        <v>96</v>
      </c>
      <c r="AC2" s="69" t="s">
        <v>28</v>
      </c>
      <c r="AD2" s="69" t="s">
        <v>478</v>
      </c>
      <c r="AE2" s="69" t="s">
        <v>98</v>
      </c>
      <c r="AF2" s="44" t="s">
        <v>31</v>
      </c>
      <c r="AG2" s="78" t="s">
        <v>33</v>
      </c>
      <c r="AH2" s="78" t="s">
        <v>34</v>
      </c>
      <c r="AI2" s="78" t="s">
        <v>35</v>
      </c>
      <c r="AJ2" s="78" t="s">
        <v>95</v>
      </c>
      <c r="AK2" s="272" t="s">
        <v>36</v>
      </c>
      <c r="AL2" s="272" t="s">
        <v>37</v>
      </c>
      <c r="AM2" s="272" t="s">
        <v>39</v>
      </c>
      <c r="AN2" s="273" t="s">
        <v>38</v>
      </c>
      <c r="AO2" s="44" t="s">
        <v>42</v>
      </c>
      <c r="AP2" s="44" t="s">
        <v>261</v>
      </c>
      <c r="AQ2" s="272" t="s">
        <v>43</v>
      </c>
      <c r="AR2" s="272" t="s">
        <v>44</v>
      </c>
      <c r="AS2" s="44" t="s">
        <v>45</v>
      </c>
      <c r="AT2" s="231"/>
    </row>
    <row r="3" s="224" customFormat="1" ht="30" customHeight="1" spans="1:46">
      <c r="A3" s="11"/>
      <c r="B3" s="45"/>
      <c r="C3" s="237"/>
      <c r="D3" s="238"/>
      <c r="E3" s="238"/>
      <c r="F3" s="238"/>
      <c r="G3" s="238"/>
      <c r="H3" s="239" t="s">
        <v>20</v>
      </c>
      <c r="I3" s="238"/>
      <c r="J3" s="238"/>
      <c r="K3" s="238"/>
      <c r="L3" s="238"/>
      <c r="M3" s="238"/>
      <c r="N3" s="260"/>
      <c r="O3" s="238"/>
      <c r="P3" s="238"/>
      <c r="Q3" s="238"/>
      <c r="R3" s="238"/>
      <c r="S3" s="236"/>
      <c r="T3" s="238"/>
      <c r="U3" s="236"/>
      <c r="V3" s="44"/>
      <c r="W3" s="44"/>
      <c r="X3" s="44"/>
      <c r="Y3" s="44"/>
      <c r="Z3" s="44"/>
      <c r="AA3" s="44"/>
      <c r="AB3" s="44"/>
      <c r="AC3" s="70"/>
      <c r="AD3" s="70"/>
      <c r="AE3" s="70"/>
      <c r="AF3" s="44"/>
      <c r="AG3" s="81"/>
      <c r="AH3" s="81"/>
      <c r="AI3" s="81"/>
      <c r="AJ3" s="81"/>
      <c r="AK3" s="272"/>
      <c r="AL3" s="272"/>
      <c r="AM3" s="272"/>
      <c r="AN3" s="274"/>
      <c r="AO3" s="44"/>
      <c r="AP3" s="44"/>
      <c r="AQ3" s="272"/>
      <c r="AR3" s="272"/>
      <c r="AS3" s="44"/>
      <c r="AT3" s="231"/>
    </row>
    <row r="4" s="225" customFormat="1" ht="30" customHeight="1" spans="1:47">
      <c r="A4" s="240">
        <f>ROW()-3</f>
        <v>1</v>
      </c>
      <c r="B4" s="241" t="s">
        <v>479</v>
      </c>
      <c r="C4" s="242" t="s">
        <v>267</v>
      </c>
      <c r="D4" s="243" t="s">
        <v>480</v>
      </c>
      <c r="E4" s="244" t="s">
        <v>49</v>
      </c>
      <c r="F4" s="245">
        <v>31</v>
      </c>
      <c r="G4" s="246">
        <v>0</v>
      </c>
      <c r="H4" s="246">
        <v>0</v>
      </c>
      <c r="I4" s="246">
        <v>0</v>
      </c>
      <c r="J4" s="246">
        <v>0</v>
      </c>
      <c r="K4" s="246">
        <v>0</v>
      </c>
      <c r="L4" s="246">
        <v>0</v>
      </c>
      <c r="M4" s="246">
        <v>0</v>
      </c>
      <c r="N4" s="246">
        <v>0</v>
      </c>
      <c r="O4" s="251" t="s">
        <v>481</v>
      </c>
      <c r="P4" s="246">
        <v>0</v>
      </c>
      <c r="Q4" s="246">
        <v>0</v>
      </c>
      <c r="R4" s="246">
        <v>0</v>
      </c>
      <c r="S4" s="263" t="s">
        <v>373</v>
      </c>
      <c r="T4" s="263"/>
      <c r="U4" s="264" t="s">
        <v>482</v>
      </c>
      <c r="V4" s="265">
        <f>2950/31*25+2100/31*6</f>
        <v>2785.48387096774</v>
      </c>
      <c r="W4" s="266">
        <v>0</v>
      </c>
      <c r="X4" s="266">
        <v>0</v>
      </c>
      <c r="Y4" s="266">
        <v>0</v>
      </c>
      <c r="Z4" s="266">
        <v>0</v>
      </c>
      <c r="AA4" s="266">
        <v>0</v>
      </c>
      <c r="AB4" s="266">
        <v>0</v>
      </c>
      <c r="AC4" s="266">
        <f>SUM(V4:AB4)</f>
        <v>2785.48387096774</v>
      </c>
      <c r="AD4" s="74"/>
      <c r="AE4" s="74"/>
      <c r="AF4" s="74"/>
      <c r="AG4" s="73">
        <v>0</v>
      </c>
      <c r="AH4" s="73">
        <v>0</v>
      </c>
      <c r="AI4" s="73">
        <v>0</v>
      </c>
      <c r="AJ4" s="71">
        <f>T4</f>
        <v>0</v>
      </c>
      <c r="AK4" s="71">
        <f>SUM(AC4:AJ4)</f>
        <v>2785.48387096774</v>
      </c>
      <c r="AL4" s="73">
        <f>H4</f>
        <v>0</v>
      </c>
      <c r="AM4" s="73">
        <f t="shared" ref="AM4:AM67" si="0">AC4/F4*AL4</f>
        <v>0</v>
      </c>
      <c r="AN4" s="73">
        <f t="shared" ref="AN4:AN67" si="1">G4*2</f>
        <v>0</v>
      </c>
      <c r="AO4" s="73">
        <v>537.4</v>
      </c>
      <c r="AP4" s="73"/>
      <c r="AQ4" s="73">
        <f>SUM(AM4:AP4)</f>
        <v>537.4</v>
      </c>
      <c r="AR4" s="73">
        <f>AK4-AQ4</f>
        <v>2248.08387096774</v>
      </c>
      <c r="AS4" s="250"/>
      <c r="AT4" s="275" t="s">
        <v>483</v>
      </c>
      <c r="AU4" s="276" t="s">
        <v>484</v>
      </c>
    </row>
    <row r="5" s="224" customFormat="1" ht="30" customHeight="1" spans="1:47">
      <c r="A5" s="240">
        <f t="shared" ref="A5:A14" si="2">ROW()-3</f>
        <v>2</v>
      </c>
      <c r="B5" s="241" t="s">
        <v>485</v>
      </c>
      <c r="C5" s="244" t="s">
        <v>273</v>
      </c>
      <c r="D5" s="247" t="s">
        <v>486</v>
      </c>
      <c r="E5" s="244" t="s">
        <v>49</v>
      </c>
      <c r="F5" s="248">
        <v>31</v>
      </c>
      <c r="G5" s="249">
        <v>0</v>
      </c>
      <c r="H5" s="249">
        <v>0</v>
      </c>
      <c r="I5" s="249">
        <v>0</v>
      </c>
      <c r="J5" s="249">
        <v>0</v>
      </c>
      <c r="K5" s="249">
        <v>0</v>
      </c>
      <c r="L5" s="249">
        <v>0</v>
      </c>
      <c r="M5" s="249">
        <v>0</v>
      </c>
      <c r="N5" s="249">
        <v>0</v>
      </c>
      <c r="O5" s="251" t="s">
        <v>254</v>
      </c>
      <c r="P5" s="246">
        <v>0</v>
      </c>
      <c r="Q5" s="246">
        <v>0</v>
      </c>
      <c r="R5" s="246">
        <v>0</v>
      </c>
      <c r="S5" s="263" t="s">
        <v>373</v>
      </c>
      <c r="T5" s="263"/>
      <c r="U5" s="267">
        <v>1700</v>
      </c>
      <c r="V5" s="265">
        <v>1000</v>
      </c>
      <c r="W5" s="266">
        <v>200</v>
      </c>
      <c r="X5" s="266">
        <v>100</v>
      </c>
      <c r="Y5" s="266">
        <v>100</v>
      </c>
      <c r="Z5" s="266">
        <v>100</v>
      </c>
      <c r="AA5" s="266">
        <v>100</v>
      </c>
      <c r="AB5" s="266">
        <v>100</v>
      </c>
      <c r="AC5" s="266">
        <f t="shared" ref="AC5:AC36" si="3">SUM(V5:AB5)</f>
        <v>1700</v>
      </c>
      <c r="AD5" s="266"/>
      <c r="AE5" s="266"/>
      <c r="AF5" s="266"/>
      <c r="AG5" s="71">
        <v>0</v>
      </c>
      <c r="AH5" s="71">
        <v>0</v>
      </c>
      <c r="AI5" s="71">
        <v>0</v>
      </c>
      <c r="AJ5" s="71">
        <f t="shared" ref="AJ5:AJ36" si="4">T5</f>
        <v>0</v>
      </c>
      <c r="AK5" s="71">
        <f t="shared" ref="AK5:AK36" si="5">SUM(AC5:AJ5)</f>
        <v>1700</v>
      </c>
      <c r="AL5" s="71">
        <f t="shared" ref="AL5:AL68" si="6">H5+I5+J5/2</f>
        <v>0</v>
      </c>
      <c r="AM5" s="73">
        <f t="shared" si="0"/>
        <v>0</v>
      </c>
      <c r="AN5" s="73">
        <f t="shared" si="1"/>
        <v>0</v>
      </c>
      <c r="AO5" s="73">
        <v>537.4</v>
      </c>
      <c r="AP5" s="73"/>
      <c r="AQ5" s="73">
        <f t="shared" ref="AQ5:AQ36" si="7">SUM(AM5:AP5)</f>
        <v>537.4</v>
      </c>
      <c r="AR5" s="73">
        <f t="shared" ref="AR5:AR36" si="8">AK5-AQ5</f>
        <v>1162.6</v>
      </c>
      <c r="AS5" s="244"/>
      <c r="AT5" s="275" t="s">
        <v>374</v>
      </c>
      <c r="AU5" s="276"/>
    </row>
    <row r="6" s="224" customFormat="1" ht="30" customHeight="1" spans="1:47">
      <c r="A6" s="240">
        <f t="shared" si="2"/>
        <v>3</v>
      </c>
      <c r="B6" s="241" t="s">
        <v>487</v>
      </c>
      <c r="C6" s="244" t="s">
        <v>267</v>
      </c>
      <c r="D6" s="243" t="s">
        <v>265</v>
      </c>
      <c r="E6" s="244" t="s">
        <v>49</v>
      </c>
      <c r="F6" s="250">
        <v>31</v>
      </c>
      <c r="G6" s="246">
        <v>0</v>
      </c>
      <c r="H6" s="246">
        <v>0</v>
      </c>
      <c r="I6" s="246">
        <v>0</v>
      </c>
      <c r="J6" s="246">
        <v>0</v>
      </c>
      <c r="K6" s="246">
        <v>0</v>
      </c>
      <c r="L6" s="246">
        <v>0</v>
      </c>
      <c r="M6" s="246">
        <v>0</v>
      </c>
      <c r="N6" s="246">
        <v>0</v>
      </c>
      <c r="O6" s="251" t="s">
        <v>254</v>
      </c>
      <c r="P6" s="246">
        <v>0</v>
      </c>
      <c r="Q6" s="246">
        <v>0</v>
      </c>
      <c r="R6" s="246">
        <v>0</v>
      </c>
      <c r="S6" s="263" t="s">
        <v>373</v>
      </c>
      <c r="T6" s="263"/>
      <c r="U6" s="267">
        <v>2100</v>
      </c>
      <c r="V6" s="265">
        <v>1200</v>
      </c>
      <c r="W6" s="266">
        <v>200</v>
      </c>
      <c r="X6" s="266">
        <v>200</v>
      </c>
      <c r="Y6" s="266">
        <v>100</v>
      </c>
      <c r="Z6" s="266">
        <v>200</v>
      </c>
      <c r="AA6" s="266">
        <v>100</v>
      </c>
      <c r="AB6" s="266">
        <v>100</v>
      </c>
      <c r="AC6" s="266">
        <f t="shared" si="3"/>
        <v>2100</v>
      </c>
      <c r="AD6" s="266"/>
      <c r="AE6" s="266"/>
      <c r="AF6" s="266"/>
      <c r="AG6" s="71">
        <v>0</v>
      </c>
      <c r="AH6" s="71">
        <v>0</v>
      </c>
      <c r="AI6" s="71">
        <v>0</v>
      </c>
      <c r="AJ6" s="71">
        <f t="shared" si="4"/>
        <v>0</v>
      </c>
      <c r="AK6" s="71">
        <f t="shared" si="5"/>
        <v>2100</v>
      </c>
      <c r="AL6" s="71">
        <f t="shared" si="6"/>
        <v>0</v>
      </c>
      <c r="AM6" s="73">
        <f t="shared" si="0"/>
        <v>0</v>
      </c>
      <c r="AN6" s="73">
        <f t="shared" si="1"/>
        <v>0</v>
      </c>
      <c r="AO6" s="71">
        <v>537.4</v>
      </c>
      <c r="AP6" s="73"/>
      <c r="AQ6" s="73">
        <f t="shared" si="7"/>
        <v>537.4</v>
      </c>
      <c r="AR6" s="73">
        <f t="shared" si="8"/>
        <v>1562.6</v>
      </c>
      <c r="AS6" s="250"/>
      <c r="AT6" s="275" t="s">
        <v>374</v>
      </c>
      <c r="AU6" s="276"/>
    </row>
    <row r="7" s="224" customFormat="1" ht="30" customHeight="1" spans="1:47">
      <c r="A7" s="240">
        <f t="shared" si="2"/>
        <v>4</v>
      </c>
      <c r="B7" s="241" t="s">
        <v>488</v>
      </c>
      <c r="C7" s="242" t="s">
        <v>267</v>
      </c>
      <c r="D7" s="243" t="s">
        <v>489</v>
      </c>
      <c r="E7" s="244" t="s">
        <v>49</v>
      </c>
      <c r="F7" s="245">
        <v>31</v>
      </c>
      <c r="G7" s="246">
        <v>0</v>
      </c>
      <c r="H7" s="246">
        <v>0</v>
      </c>
      <c r="I7" s="246">
        <v>0</v>
      </c>
      <c r="J7" s="246">
        <v>0</v>
      </c>
      <c r="K7" s="246">
        <v>0</v>
      </c>
      <c r="L7" s="246">
        <v>0</v>
      </c>
      <c r="M7" s="246">
        <v>0</v>
      </c>
      <c r="N7" s="246">
        <v>0</v>
      </c>
      <c r="O7" s="251" t="s">
        <v>481</v>
      </c>
      <c r="P7" s="246">
        <v>0</v>
      </c>
      <c r="Q7" s="246">
        <v>0</v>
      </c>
      <c r="R7" s="246">
        <v>0</v>
      </c>
      <c r="S7" s="263" t="s">
        <v>373</v>
      </c>
      <c r="T7" s="263"/>
      <c r="U7" s="267" t="s">
        <v>482</v>
      </c>
      <c r="V7" s="265">
        <f>2950/31*25+2100/31*6</f>
        <v>2785.48387096774</v>
      </c>
      <c r="W7" s="266">
        <v>0</v>
      </c>
      <c r="X7" s="266">
        <v>0</v>
      </c>
      <c r="Y7" s="266">
        <v>0</v>
      </c>
      <c r="Z7" s="266">
        <v>0</v>
      </c>
      <c r="AA7" s="266">
        <v>0</v>
      </c>
      <c r="AB7" s="266">
        <v>0</v>
      </c>
      <c r="AC7" s="266">
        <f t="shared" si="3"/>
        <v>2785.48387096774</v>
      </c>
      <c r="AD7" s="266"/>
      <c r="AE7" s="266"/>
      <c r="AF7" s="266"/>
      <c r="AG7" s="71">
        <v>0</v>
      </c>
      <c r="AH7" s="71">
        <v>0</v>
      </c>
      <c r="AI7" s="71">
        <v>0</v>
      </c>
      <c r="AJ7" s="71">
        <f t="shared" si="4"/>
        <v>0</v>
      </c>
      <c r="AK7" s="71">
        <f t="shared" si="5"/>
        <v>2785.48387096774</v>
      </c>
      <c r="AL7" s="71">
        <f t="shared" si="6"/>
        <v>0</v>
      </c>
      <c r="AM7" s="73">
        <f t="shared" si="0"/>
        <v>0</v>
      </c>
      <c r="AN7" s="73">
        <f t="shared" si="1"/>
        <v>0</v>
      </c>
      <c r="AO7" s="71">
        <v>537.4</v>
      </c>
      <c r="AP7" s="73"/>
      <c r="AQ7" s="73">
        <f t="shared" si="7"/>
        <v>537.4</v>
      </c>
      <c r="AR7" s="73">
        <f t="shared" si="8"/>
        <v>2248.08387096774</v>
      </c>
      <c r="AS7" s="250"/>
      <c r="AT7" s="275" t="s">
        <v>483</v>
      </c>
      <c r="AU7" s="276"/>
    </row>
    <row r="8" s="224" customFormat="1" ht="30" customHeight="1" spans="1:47">
      <c r="A8" s="240">
        <f t="shared" si="2"/>
        <v>5</v>
      </c>
      <c r="B8" s="241" t="s">
        <v>490</v>
      </c>
      <c r="C8" s="244" t="s">
        <v>267</v>
      </c>
      <c r="D8" s="247" t="s">
        <v>265</v>
      </c>
      <c r="E8" s="244" t="s">
        <v>49</v>
      </c>
      <c r="F8" s="248">
        <v>31</v>
      </c>
      <c r="G8" s="249">
        <v>0</v>
      </c>
      <c r="H8" s="249">
        <v>0</v>
      </c>
      <c r="I8" s="249">
        <v>0</v>
      </c>
      <c r="J8" s="249">
        <v>0</v>
      </c>
      <c r="K8" s="249">
        <v>0</v>
      </c>
      <c r="L8" s="249">
        <v>0</v>
      </c>
      <c r="M8" s="249">
        <v>0</v>
      </c>
      <c r="N8" s="249">
        <v>0</v>
      </c>
      <c r="O8" s="251" t="s">
        <v>254</v>
      </c>
      <c r="P8" s="246">
        <v>0</v>
      </c>
      <c r="Q8" s="246">
        <v>0</v>
      </c>
      <c r="R8" s="246">
        <v>0</v>
      </c>
      <c r="S8" s="263" t="s">
        <v>373</v>
      </c>
      <c r="T8" s="263"/>
      <c r="U8" s="267">
        <v>2100</v>
      </c>
      <c r="V8" s="265">
        <v>1300</v>
      </c>
      <c r="W8" s="266">
        <v>300</v>
      </c>
      <c r="X8" s="266">
        <v>100</v>
      </c>
      <c r="Y8" s="266">
        <v>100</v>
      </c>
      <c r="Z8" s="266">
        <v>100</v>
      </c>
      <c r="AA8" s="266">
        <v>100</v>
      </c>
      <c r="AB8" s="266">
        <v>100</v>
      </c>
      <c r="AC8" s="266">
        <f t="shared" si="3"/>
        <v>2100</v>
      </c>
      <c r="AD8" s="266"/>
      <c r="AE8" s="266"/>
      <c r="AF8" s="266"/>
      <c r="AG8" s="71">
        <v>0</v>
      </c>
      <c r="AH8" s="71">
        <v>0</v>
      </c>
      <c r="AI8" s="71">
        <v>0</v>
      </c>
      <c r="AJ8" s="71">
        <f t="shared" si="4"/>
        <v>0</v>
      </c>
      <c r="AK8" s="71">
        <f t="shared" si="5"/>
        <v>2100</v>
      </c>
      <c r="AL8" s="71">
        <f t="shared" si="6"/>
        <v>0</v>
      </c>
      <c r="AM8" s="73">
        <f t="shared" si="0"/>
        <v>0</v>
      </c>
      <c r="AN8" s="73">
        <f t="shared" si="1"/>
        <v>0</v>
      </c>
      <c r="AO8" s="71">
        <v>537.4</v>
      </c>
      <c r="AP8" s="73"/>
      <c r="AQ8" s="73">
        <f t="shared" si="7"/>
        <v>537.4</v>
      </c>
      <c r="AR8" s="73">
        <f t="shared" si="8"/>
        <v>1562.6</v>
      </c>
      <c r="AS8" s="277"/>
      <c r="AT8" s="275" t="s">
        <v>374</v>
      </c>
      <c r="AU8" s="276"/>
    </row>
    <row r="9" s="224" customFormat="1" ht="30" customHeight="1" spans="1:47">
      <c r="A9" s="240">
        <f t="shared" si="2"/>
        <v>6</v>
      </c>
      <c r="B9" s="241" t="s">
        <v>491</v>
      </c>
      <c r="C9" s="244" t="s">
        <v>267</v>
      </c>
      <c r="D9" s="247" t="s">
        <v>492</v>
      </c>
      <c r="E9" s="244" t="s">
        <v>49</v>
      </c>
      <c r="F9" s="250">
        <v>31</v>
      </c>
      <c r="G9" s="249">
        <v>0</v>
      </c>
      <c r="H9" s="249">
        <v>0</v>
      </c>
      <c r="I9" s="249">
        <v>0</v>
      </c>
      <c r="J9" s="249">
        <v>0</v>
      </c>
      <c r="K9" s="249">
        <v>0</v>
      </c>
      <c r="L9" s="249">
        <v>0</v>
      </c>
      <c r="M9" s="249">
        <v>0</v>
      </c>
      <c r="N9" s="249">
        <v>0</v>
      </c>
      <c r="O9" s="251" t="s">
        <v>254</v>
      </c>
      <c r="P9" s="246">
        <v>0</v>
      </c>
      <c r="Q9" s="246">
        <v>0</v>
      </c>
      <c r="R9" s="246">
        <v>0</v>
      </c>
      <c r="S9" s="263" t="s">
        <v>373</v>
      </c>
      <c r="T9" s="263"/>
      <c r="U9" s="267">
        <v>2100</v>
      </c>
      <c r="V9" s="265">
        <v>1300</v>
      </c>
      <c r="W9" s="266">
        <v>300</v>
      </c>
      <c r="X9" s="266">
        <v>100</v>
      </c>
      <c r="Y9" s="266">
        <v>100</v>
      </c>
      <c r="Z9" s="266">
        <v>100</v>
      </c>
      <c r="AA9" s="266">
        <v>100</v>
      </c>
      <c r="AB9" s="266">
        <v>100</v>
      </c>
      <c r="AC9" s="266">
        <f t="shared" si="3"/>
        <v>2100</v>
      </c>
      <c r="AD9" s="266"/>
      <c r="AE9" s="266"/>
      <c r="AF9" s="266"/>
      <c r="AG9" s="71">
        <v>0</v>
      </c>
      <c r="AH9" s="71">
        <v>0</v>
      </c>
      <c r="AI9" s="71">
        <v>0</v>
      </c>
      <c r="AJ9" s="71">
        <f t="shared" si="4"/>
        <v>0</v>
      </c>
      <c r="AK9" s="71">
        <f t="shared" si="5"/>
        <v>2100</v>
      </c>
      <c r="AL9" s="71">
        <f t="shared" si="6"/>
        <v>0</v>
      </c>
      <c r="AM9" s="73">
        <f t="shared" si="0"/>
        <v>0</v>
      </c>
      <c r="AN9" s="73">
        <f t="shared" si="1"/>
        <v>0</v>
      </c>
      <c r="AO9" s="71">
        <v>537.4</v>
      </c>
      <c r="AP9" s="73"/>
      <c r="AQ9" s="73">
        <f t="shared" si="7"/>
        <v>537.4</v>
      </c>
      <c r="AR9" s="73">
        <f t="shared" si="8"/>
        <v>1562.6</v>
      </c>
      <c r="AS9" s="250"/>
      <c r="AT9" s="275" t="s">
        <v>374</v>
      </c>
      <c r="AU9" s="276"/>
    </row>
    <row r="10" s="224" customFormat="1" ht="30" customHeight="1" spans="1:47">
      <c r="A10" s="240">
        <f t="shared" si="2"/>
        <v>7</v>
      </c>
      <c r="B10" s="241" t="s">
        <v>493</v>
      </c>
      <c r="C10" s="242" t="s">
        <v>267</v>
      </c>
      <c r="D10" s="243" t="s">
        <v>494</v>
      </c>
      <c r="E10" s="244" t="s">
        <v>49</v>
      </c>
      <c r="F10" s="245">
        <v>31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6">
        <v>0</v>
      </c>
      <c r="N10" s="246">
        <v>0</v>
      </c>
      <c r="O10" s="251" t="s">
        <v>254</v>
      </c>
      <c r="P10" s="246">
        <v>0</v>
      </c>
      <c r="Q10" s="246">
        <v>0</v>
      </c>
      <c r="R10" s="246">
        <v>0</v>
      </c>
      <c r="S10" s="263" t="s">
        <v>373</v>
      </c>
      <c r="T10" s="263"/>
      <c r="U10" s="267">
        <v>2100</v>
      </c>
      <c r="V10" s="265">
        <v>1000</v>
      </c>
      <c r="W10" s="266">
        <v>200</v>
      </c>
      <c r="X10" s="266">
        <v>200</v>
      </c>
      <c r="Y10" s="266">
        <v>200</v>
      </c>
      <c r="Z10" s="266">
        <v>200</v>
      </c>
      <c r="AA10" s="266">
        <v>200</v>
      </c>
      <c r="AB10" s="266">
        <v>100</v>
      </c>
      <c r="AC10" s="266">
        <f t="shared" si="3"/>
        <v>2100</v>
      </c>
      <c r="AD10" s="266"/>
      <c r="AE10" s="266"/>
      <c r="AF10" s="266"/>
      <c r="AG10" s="71">
        <v>0</v>
      </c>
      <c r="AH10" s="71">
        <v>0</v>
      </c>
      <c r="AI10" s="71">
        <v>0</v>
      </c>
      <c r="AJ10" s="71">
        <f t="shared" si="4"/>
        <v>0</v>
      </c>
      <c r="AK10" s="71">
        <f t="shared" si="5"/>
        <v>2100</v>
      </c>
      <c r="AL10" s="71">
        <f t="shared" si="6"/>
        <v>0</v>
      </c>
      <c r="AM10" s="73">
        <f t="shared" si="0"/>
        <v>0</v>
      </c>
      <c r="AN10" s="73">
        <f t="shared" si="1"/>
        <v>0</v>
      </c>
      <c r="AO10" s="71">
        <v>537.4</v>
      </c>
      <c r="AP10" s="73"/>
      <c r="AQ10" s="73">
        <f t="shared" si="7"/>
        <v>537.4</v>
      </c>
      <c r="AR10" s="73">
        <f t="shared" si="8"/>
        <v>1562.6</v>
      </c>
      <c r="AS10" s="250"/>
      <c r="AT10" s="275" t="s">
        <v>374</v>
      </c>
      <c r="AU10" s="276"/>
    </row>
    <row r="11" s="224" customFormat="1" ht="30" customHeight="1" spans="1:47">
      <c r="A11" s="240">
        <f t="shared" si="2"/>
        <v>8</v>
      </c>
      <c r="B11" s="241" t="s">
        <v>495</v>
      </c>
      <c r="C11" s="244" t="s">
        <v>267</v>
      </c>
      <c r="D11" s="247" t="s">
        <v>496</v>
      </c>
      <c r="E11" s="244" t="s">
        <v>49</v>
      </c>
      <c r="F11" s="248">
        <v>31</v>
      </c>
      <c r="G11" s="249">
        <v>0</v>
      </c>
      <c r="H11" s="249">
        <v>0</v>
      </c>
      <c r="I11" s="249">
        <v>0</v>
      </c>
      <c r="J11" s="249">
        <v>0</v>
      </c>
      <c r="K11" s="249">
        <v>0</v>
      </c>
      <c r="L11" s="249">
        <v>0</v>
      </c>
      <c r="M11" s="249">
        <v>0</v>
      </c>
      <c r="N11" s="249">
        <v>0</v>
      </c>
      <c r="O11" s="251" t="s">
        <v>254</v>
      </c>
      <c r="P11" s="246">
        <v>0</v>
      </c>
      <c r="Q11" s="246">
        <v>0</v>
      </c>
      <c r="R11" s="246">
        <v>0</v>
      </c>
      <c r="S11" s="263" t="s">
        <v>373</v>
      </c>
      <c r="T11" s="263"/>
      <c r="U11" s="267">
        <v>2100</v>
      </c>
      <c r="V11" s="265">
        <v>1000</v>
      </c>
      <c r="W11" s="266">
        <v>200</v>
      </c>
      <c r="X11" s="266">
        <v>200</v>
      </c>
      <c r="Y11" s="266">
        <v>200</v>
      </c>
      <c r="Z11" s="266">
        <v>200</v>
      </c>
      <c r="AA11" s="266">
        <v>200</v>
      </c>
      <c r="AB11" s="266">
        <v>100</v>
      </c>
      <c r="AC11" s="266">
        <f t="shared" si="3"/>
        <v>2100</v>
      </c>
      <c r="AD11" s="266"/>
      <c r="AE11" s="266"/>
      <c r="AF11" s="266"/>
      <c r="AG11" s="71">
        <v>0</v>
      </c>
      <c r="AH11" s="71">
        <v>0</v>
      </c>
      <c r="AI11" s="71">
        <v>0</v>
      </c>
      <c r="AJ11" s="71">
        <f t="shared" si="4"/>
        <v>0</v>
      </c>
      <c r="AK11" s="71">
        <f t="shared" si="5"/>
        <v>2100</v>
      </c>
      <c r="AL11" s="71">
        <f t="shared" si="6"/>
        <v>0</v>
      </c>
      <c r="AM11" s="73">
        <f t="shared" si="0"/>
        <v>0</v>
      </c>
      <c r="AN11" s="73">
        <f t="shared" si="1"/>
        <v>0</v>
      </c>
      <c r="AO11" s="71">
        <v>537.4</v>
      </c>
      <c r="AP11" s="73"/>
      <c r="AQ11" s="73">
        <f t="shared" si="7"/>
        <v>537.4</v>
      </c>
      <c r="AR11" s="73">
        <f t="shared" si="8"/>
        <v>1562.6</v>
      </c>
      <c r="AS11" s="244"/>
      <c r="AT11" s="275" t="s">
        <v>374</v>
      </c>
      <c r="AU11" s="276"/>
    </row>
    <row r="12" s="224" customFormat="1" ht="30" customHeight="1" spans="1:47">
      <c r="A12" s="240">
        <f t="shared" si="2"/>
        <v>9</v>
      </c>
      <c r="B12" s="241" t="s">
        <v>497</v>
      </c>
      <c r="C12" s="242" t="s">
        <v>267</v>
      </c>
      <c r="D12" s="243" t="s">
        <v>498</v>
      </c>
      <c r="E12" s="244" t="s">
        <v>49</v>
      </c>
      <c r="F12" s="245">
        <v>31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246">
        <v>0</v>
      </c>
      <c r="N12" s="246">
        <v>0</v>
      </c>
      <c r="O12" s="251" t="s">
        <v>254</v>
      </c>
      <c r="P12" s="246">
        <v>0</v>
      </c>
      <c r="Q12" s="246">
        <v>0</v>
      </c>
      <c r="R12" s="246">
        <v>0</v>
      </c>
      <c r="S12" s="263" t="s">
        <v>373</v>
      </c>
      <c r="T12" s="263"/>
      <c r="U12" s="267">
        <v>2100</v>
      </c>
      <c r="V12" s="265">
        <v>1000</v>
      </c>
      <c r="W12" s="266">
        <v>200</v>
      </c>
      <c r="X12" s="266">
        <v>200</v>
      </c>
      <c r="Y12" s="266">
        <v>200</v>
      </c>
      <c r="Z12" s="266">
        <v>200</v>
      </c>
      <c r="AA12" s="266">
        <v>200</v>
      </c>
      <c r="AB12" s="266">
        <v>100</v>
      </c>
      <c r="AC12" s="266">
        <f t="shared" si="3"/>
        <v>2100</v>
      </c>
      <c r="AD12" s="266"/>
      <c r="AE12" s="266"/>
      <c r="AF12" s="266"/>
      <c r="AG12" s="71">
        <v>0</v>
      </c>
      <c r="AH12" s="71">
        <v>0</v>
      </c>
      <c r="AI12" s="71">
        <v>0</v>
      </c>
      <c r="AJ12" s="71">
        <f t="shared" si="4"/>
        <v>0</v>
      </c>
      <c r="AK12" s="71">
        <f t="shared" si="5"/>
        <v>2100</v>
      </c>
      <c r="AL12" s="71">
        <f t="shared" si="6"/>
        <v>0</v>
      </c>
      <c r="AM12" s="73">
        <f t="shared" si="0"/>
        <v>0</v>
      </c>
      <c r="AN12" s="73">
        <f t="shared" si="1"/>
        <v>0</v>
      </c>
      <c r="AO12" s="71">
        <v>537.4</v>
      </c>
      <c r="AP12" s="73"/>
      <c r="AQ12" s="73">
        <f t="shared" si="7"/>
        <v>537.4</v>
      </c>
      <c r="AR12" s="73">
        <f t="shared" si="8"/>
        <v>1562.6</v>
      </c>
      <c r="AS12" s="250"/>
      <c r="AT12" s="275" t="s">
        <v>374</v>
      </c>
      <c r="AU12" s="276"/>
    </row>
    <row r="13" s="224" customFormat="1" ht="30" customHeight="1" spans="1:47">
      <c r="A13" s="240">
        <f t="shared" si="2"/>
        <v>10</v>
      </c>
      <c r="B13" s="241" t="s">
        <v>499</v>
      </c>
      <c r="C13" s="250" t="s">
        <v>267</v>
      </c>
      <c r="D13" s="243" t="s">
        <v>500</v>
      </c>
      <c r="E13" s="244" t="s">
        <v>49</v>
      </c>
      <c r="F13" s="250">
        <v>31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251" t="s">
        <v>254</v>
      </c>
      <c r="P13" s="246">
        <v>0</v>
      </c>
      <c r="Q13" s="246">
        <v>0</v>
      </c>
      <c r="R13" s="246">
        <v>0</v>
      </c>
      <c r="S13" s="263" t="s">
        <v>373</v>
      </c>
      <c r="T13" s="263"/>
      <c r="U13" s="267">
        <v>2100</v>
      </c>
      <c r="V13" s="265">
        <v>1000</v>
      </c>
      <c r="W13" s="266">
        <v>200</v>
      </c>
      <c r="X13" s="266">
        <v>200</v>
      </c>
      <c r="Y13" s="266">
        <v>200</v>
      </c>
      <c r="Z13" s="266">
        <v>200</v>
      </c>
      <c r="AA13" s="266">
        <v>200</v>
      </c>
      <c r="AB13" s="266">
        <v>100</v>
      </c>
      <c r="AC13" s="266">
        <f t="shared" si="3"/>
        <v>2100</v>
      </c>
      <c r="AD13" s="266"/>
      <c r="AE13" s="266"/>
      <c r="AF13" s="266"/>
      <c r="AG13" s="71">
        <v>0</v>
      </c>
      <c r="AH13" s="71">
        <v>0</v>
      </c>
      <c r="AI13" s="71">
        <v>0</v>
      </c>
      <c r="AJ13" s="71">
        <f t="shared" si="4"/>
        <v>0</v>
      </c>
      <c r="AK13" s="71">
        <f t="shared" si="5"/>
        <v>2100</v>
      </c>
      <c r="AL13" s="71">
        <f t="shared" si="6"/>
        <v>0</v>
      </c>
      <c r="AM13" s="73">
        <f t="shared" si="0"/>
        <v>0</v>
      </c>
      <c r="AN13" s="73">
        <f t="shared" si="1"/>
        <v>0</v>
      </c>
      <c r="AO13" s="71">
        <v>537.4</v>
      </c>
      <c r="AP13" s="73"/>
      <c r="AQ13" s="73">
        <f t="shared" si="7"/>
        <v>537.4</v>
      </c>
      <c r="AR13" s="73">
        <f t="shared" si="8"/>
        <v>1562.6</v>
      </c>
      <c r="AS13" s="250"/>
      <c r="AT13" s="275" t="s">
        <v>374</v>
      </c>
      <c r="AU13" s="276"/>
    </row>
    <row r="14" s="224" customFormat="1" ht="50" customHeight="1" spans="1:47">
      <c r="A14" s="240">
        <f t="shared" si="2"/>
        <v>11</v>
      </c>
      <c r="B14" s="241" t="s">
        <v>501</v>
      </c>
      <c r="C14" s="250" t="s">
        <v>267</v>
      </c>
      <c r="D14" s="243" t="s">
        <v>502</v>
      </c>
      <c r="E14" s="244" t="s">
        <v>49</v>
      </c>
      <c r="F14" s="248">
        <v>31</v>
      </c>
      <c r="G14" s="251">
        <v>0</v>
      </c>
      <c r="H14" s="251"/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  <c r="O14" s="251" t="s">
        <v>503</v>
      </c>
      <c r="P14" s="246">
        <v>0</v>
      </c>
      <c r="Q14" s="246">
        <v>0</v>
      </c>
      <c r="R14" s="246">
        <v>0</v>
      </c>
      <c r="S14" s="263" t="s">
        <v>373</v>
      </c>
      <c r="T14" s="263"/>
      <c r="U14" s="267">
        <v>2100</v>
      </c>
      <c r="V14" s="265">
        <v>1000</v>
      </c>
      <c r="W14" s="266">
        <v>200</v>
      </c>
      <c r="X14" s="266">
        <v>200</v>
      </c>
      <c r="Y14" s="266">
        <v>200</v>
      </c>
      <c r="Z14" s="266">
        <v>200</v>
      </c>
      <c r="AA14" s="266">
        <v>200</v>
      </c>
      <c r="AB14" s="266">
        <v>100</v>
      </c>
      <c r="AC14" s="266">
        <f t="shared" si="3"/>
        <v>2100</v>
      </c>
      <c r="AD14" s="266">
        <v>680</v>
      </c>
      <c r="AE14" s="266"/>
      <c r="AF14" s="266"/>
      <c r="AG14" s="71">
        <v>0</v>
      </c>
      <c r="AH14" s="71">
        <v>0</v>
      </c>
      <c r="AI14" s="71">
        <v>0</v>
      </c>
      <c r="AJ14" s="71">
        <f t="shared" si="4"/>
        <v>0</v>
      </c>
      <c r="AK14" s="71">
        <f t="shared" si="5"/>
        <v>2780</v>
      </c>
      <c r="AL14" s="71">
        <f t="shared" si="6"/>
        <v>0</v>
      </c>
      <c r="AM14" s="73">
        <f t="shared" si="0"/>
        <v>0</v>
      </c>
      <c r="AN14" s="73">
        <f t="shared" si="1"/>
        <v>0</v>
      </c>
      <c r="AO14" s="71">
        <v>537.4</v>
      </c>
      <c r="AP14" s="73"/>
      <c r="AQ14" s="73">
        <f t="shared" si="7"/>
        <v>537.4</v>
      </c>
      <c r="AR14" s="73">
        <f t="shared" si="8"/>
        <v>2242.6</v>
      </c>
      <c r="AS14" s="250"/>
      <c r="AT14" s="275" t="s">
        <v>504</v>
      </c>
      <c r="AU14" s="276"/>
    </row>
    <row r="15" s="224" customFormat="1" ht="47" customHeight="1" spans="1:47">
      <c r="A15" s="240">
        <f t="shared" ref="A15:A24" si="9">ROW()-3</f>
        <v>12</v>
      </c>
      <c r="B15" s="241" t="s">
        <v>505</v>
      </c>
      <c r="C15" s="252" t="s">
        <v>267</v>
      </c>
      <c r="D15" s="243" t="s">
        <v>421</v>
      </c>
      <c r="E15" s="253" t="s">
        <v>49</v>
      </c>
      <c r="F15" s="245">
        <v>31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 t="s">
        <v>84</v>
      </c>
      <c r="N15" s="251">
        <v>0</v>
      </c>
      <c r="O15" s="251" t="s">
        <v>506</v>
      </c>
      <c r="P15" s="246">
        <v>0</v>
      </c>
      <c r="Q15" s="246">
        <v>0</v>
      </c>
      <c r="R15" s="246">
        <v>0</v>
      </c>
      <c r="S15" s="263" t="s">
        <v>373</v>
      </c>
      <c r="T15" s="263"/>
      <c r="U15" s="267">
        <v>2100</v>
      </c>
      <c r="V15" s="265">
        <v>1000</v>
      </c>
      <c r="W15" s="266">
        <v>200</v>
      </c>
      <c r="X15" s="266">
        <v>200</v>
      </c>
      <c r="Y15" s="266">
        <v>200</v>
      </c>
      <c r="Z15" s="266">
        <v>200</v>
      </c>
      <c r="AA15" s="266">
        <v>200</v>
      </c>
      <c r="AB15" s="266">
        <v>100</v>
      </c>
      <c r="AC15" s="266">
        <f t="shared" si="3"/>
        <v>2100</v>
      </c>
      <c r="AD15" s="266">
        <v>600</v>
      </c>
      <c r="AE15" s="266"/>
      <c r="AF15" s="266"/>
      <c r="AG15" s="71">
        <v>0</v>
      </c>
      <c r="AH15" s="71">
        <v>0</v>
      </c>
      <c r="AI15" s="71">
        <v>0</v>
      </c>
      <c r="AJ15" s="71">
        <f t="shared" si="4"/>
        <v>0</v>
      </c>
      <c r="AK15" s="71">
        <f t="shared" si="5"/>
        <v>2700</v>
      </c>
      <c r="AL15" s="71">
        <f t="shared" si="6"/>
        <v>0</v>
      </c>
      <c r="AM15" s="73">
        <f t="shared" si="0"/>
        <v>0</v>
      </c>
      <c r="AN15" s="73">
        <f t="shared" si="1"/>
        <v>0</v>
      </c>
      <c r="AO15" s="71">
        <v>537.4</v>
      </c>
      <c r="AP15" s="73"/>
      <c r="AQ15" s="73">
        <f t="shared" si="7"/>
        <v>537.4</v>
      </c>
      <c r="AR15" s="73">
        <f t="shared" si="8"/>
        <v>2162.6</v>
      </c>
      <c r="AS15" s="250"/>
      <c r="AT15" s="275" t="s">
        <v>507</v>
      </c>
      <c r="AU15" s="276"/>
    </row>
    <row r="16" s="224" customFormat="1" ht="31" customHeight="1" spans="1:47">
      <c r="A16" s="240">
        <f t="shared" si="9"/>
        <v>13</v>
      </c>
      <c r="B16" s="241" t="s">
        <v>505</v>
      </c>
      <c r="C16" s="250" t="s">
        <v>273</v>
      </c>
      <c r="D16" s="243" t="s">
        <v>508</v>
      </c>
      <c r="E16" s="253" t="s">
        <v>49</v>
      </c>
      <c r="F16" s="250">
        <v>31</v>
      </c>
      <c r="G16" s="251"/>
      <c r="H16" s="251">
        <v>0</v>
      </c>
      <c r="I16" s="251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  <c r="O16" s="251" t="s">
        <v>254</v>
      </c>
      <c r="P16" s="246">
        <v>0</v>
      </c>
      <c r="Q16" s="246">
        <v>0</v>
      </c>
      <c r="R16" s="246">
        <v>0</v>
      </c>
      <c r="S16" s="263"/>
      <c r="T16" s="263"/>
      <c r="U16" s="267">
        <v>1700</v>
      </c>
      <c r="V16" s="265">
        <v>1000</v>
      </c>
      <c r="W16" s="266">
        <v>200</v>
      </c>
      <c r="X16" s="266">
        <v>100</v>
      </c>
      <c r="Y16" s="266">
        <v>100</v>
      </c>
      <c r="Z16" s="266">
        <v>100</v>
      </c>
      <c r="AA16" s="266">
        <v>100</v>
      </c>
      <c r="AB16" s="266">
        <v>100</v>
      </c>
      <c r="AC16" s="266">
        <f t="shared" si="3"/>
        <v>1700</v>
      </c>
      <c r="AD16" s="266"/>
      <c r="AE16" s="266"/>
      <c r="AF16" s="266"/>
      <c r="AG16" s="71">
        <v>0</v>
      </c>
      <c r="AH16" s="71">
        <v>0</v>
      </c>
      <c r="AI16" s="71">
        <v>0</v>
      </c>
      <c r="AJ16" s="71">
        <f t="shared" si="4"/>
        <v>0</v>
      </c>
      <c r="AK16" s="71">
        <f t="shared" si="5"/>
        <v>1700</v>
      </c>
      <c r="AL16" s="71">
        <f t="shared" si="6"/>
        <v>0</v>
      </c>
      <c r="AM16" s="73">
        <f t="shared" si="0"/>
        <v>0</v>
      </c>
      <c r="AN16" s="73">
        <f t="shared" si="1"/>
        <v>0</v>
      </c>
      <c r="AO16" s="71"/>
      <c r="AP16" s="73"/>
      <c r="AQ16" s="73">
        <f t="shared" si="7"/>
        <v>0</v>
      </c>
      <c r="AR16" s="73">
        <f t="shared" si="8"/>
        <v>1700</v>
      </c>
      <c r="AS16" s="250"/>
      <c r="AT16" s="275" t="s">
        <v>254</v>
      </c>
      <c r="AU16" s="276"/>
    </row>
    <row r="17" s="224" customFormat="1" ht="40" customHeight="1" spans="1:47">
      <c r="A17" s="240">
        <f t="shared" si="9"/>
        <v>14</v>
      </c>
      <c r="B17" s="254" t="s">
        <v>509</v>
      </c>
      <c r="C17" s="250" t="s">
        <v>267</v>
      </c>
      <c r="D17" s="243" t="s">
        <v>510</v>
      </c>
      <c r="E17" s="244" t="s">
        <v>49</v>
      </c>
      <c r="F17" s="248">
        <v>31</v>
      </c>
      <c r="G17" s="249">
        <v>0</v>
      </c>
      <c r="H17" s="249">
        <v>0</v>
      </c>
      <c r="I17" s="249">
        <v>0</v>
      </c>
      <c r="J17" s="249">
        <v>0</v>
      </c>
      <c r="K17" s="249">
        <v>0</v>
      </c>
      <c r="L17" s="249">
        <v>0</v>
      </c>
      <c r="M17" s="249">
        <v>0</v>
      </c>
      <c r="N17" s="249">
        <v>0</v>
      </c>
      <c r="O17" s="251" t="s">
        <v>511</v>
      </c>
      <c r="P17" s="246">
        <v>0</v>
      </c>
      <c r="Q17" s="246">
        <v>0</v>
      </c>
      <c r="R17" s="246">
        <v>0</v>
      </c>
      <c r="S17" s="263" t="s">
        <v>373</v>
      </c>
      <c r="T17" s="263"/>
      <c r="U17" s="267">
        <v>2100</v>
      </c>
      <c r="V17" s="265">
        <v>1000</v>
      </c>
      <c r="W17" s="266">
        <v>200</v>
      </c>
      <c r="X17" s="266">
        <v>200</v>
      </c>
      <c r="Y17" s="266">
        <v>200</v>
      </c>
      <c r="Z17" s="266">
        <v>200</v>
      </c>
      <c r="AA17" s="266">
        <v>200</v>
      </c>
      <c r="AB17" s="266">
        <v>100</v>
      </c>
      <c r="AC17" s="266">
        <f t="shared" si="3"/>
        <v>2100</v>
      </c>
      <c r="AD17" s="266"/>
      <c r="AE17" s="266"/>
      <c r="AF17" s="266"/>
      <c r="AG17" s="71"/>
      <c r="AH17" s="71"/>
      <c r="AI17" s="71"/>
      <c r="AJ17" s="71">
        <f t="shared" si="4"/>
        <v>0</v>
      </c>
      <c r="AK17" s="71">
        <f t="shared" si="5"/>
        <v>2100</v>
      </c>
      <c r="AL17" s="71">
        <f t="shared" si="6"/>
        <v>0</v>
      </c>
      <c r="AM17" s="73">
        <f t="shared" si="0"/>
        <v>0</v>
      </c>
      <c r="AN17" s="73">
        <f t="shared" si="1"/>
        <v>0</v>
      </c>
      <c r="AO17" s="71">
        <v>537.4</v>
      </c>
      <c r="AP17" s="73"/>
      <c r="AQ17" s="73">
        <f t="shared" si="7"/>
        <v>537.4</v>
      </c>
      <c r="AR17" s="73">
        <f t="shared" si="8"/>
        <v>1562.6</v>
      </c>
      <c r="AS17" s="250"/>
      <c r="AT17" s="275" t="s">
        <v>512</v>
      </c>
      <c r="AU17" s="276"/>
    </row>
    <row r="18" s="224" customFormat="1" ht="30" customHeight="1" spans="1:47">
      <c r="A18" s="240">
        <f t="shared" si="9"/>
        <v>15</v>
      </c>
      <c r="B18" s="255" t="s">
        <v>513</v>
      </c>
      <c r="C18" s="252" t="s">
        <v>267</v>
      </c>
      <c r="D18" s="243" t="s">
        <v>416</v>
      </c>
      <c r="E18" s="244" t="s">
        <v>49</v>
      </c>
      <c r="F18" s="250">
        <v>31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6">
        <v>0</v>
      </c>
      <c r="N18" s="246">
        <v>0</v>
      </c>
      <c r="O18" s="251" t="s">
        <v>514</v>
      </c>
      <c r="P18" s="246">
        <v>0</v>
      </c>
      <c r="Q18" s="246">
        <v>0</v>
      </c>
      <c r="R18" s="246">
        <v>0</v>
      </c>
      <c r="S18" s="263"/>
      <c r="T18" s="263"/>
      <c r="U18" s="267">
        <v>2300</v>
      </c>
      <c r="V18" s="265">
        <v>1200</v>
      </c>
      <c r="W18" s="266">
        <v>300</v>
      </c>
      <c r="X18" s="266">
        <v>200</v>
      </c>
      <c r="Y18" s="266">
        <v>200</v>
      </c>
      <c r="Z18" s="266">
        <v>200</v>
      </c>
      <c r="AA18" s="266">
        <v>100</v>
      </c>
      <c r="AB18" s="266">
        <v>100</v>
      </c>
      <c r="AC18" s="266">
        <f t="shared" si="3"/>
        <v>2300</v>
      </c>
      <c r="AD18" s="266"/>
      <c r="AE18" s="266"/>
      <c r="AF18" s="266"/>
      <c r="AG18" s="71">
        <v>0</v>
      </c>
      <c r="AH18" s="71">
        <v>0</v>
      </c>
      <c r="AI18" s="71">
        <v>0</v>
      </c>
      <c r="AJ18" s="71">
        <f t="shared" si="4"/>
        <v>0</v>
      </c>
      <c r="AK18" s="71">
        <f t="shared" si="5"/>
        <v>2300</v>
      </c>
      <c r="AL18" s="71">
        <f t="shared" si="6"/>
        <v>0</v>
      </c>
      <c r="AM18" s="73">
        <f t="shared" si="0"/>
        <v>0</v>
      </c>
      <c r="AN18" s="73">
        <f t="shared" si="1"/>
        <v>0</v>
      </c>
      <c r="AO18" s="71"/>
      <c r="AP18" s="73"/>
      <c r="AQ18" s="73">
        <f t="shared" si="7"/>
        <v>0</v>
      </c>
      <c r="AR18" s="73">
        <f t="shared" si="8"/>
        <v>2300</v>
      </c>
      <c r="AS18" s="250"/>
      <c r="AT18" s="275" t="s">
        <v>514</v>
      </c>
      <c r="AU18" s="276"/>
    </row>
    <row r="19" s="224" customFormat="1" ht="54" customHeight="1" spans="1:47">
      <c r="A19" s="240">
        <f t="shared" si="9"/>
        <v>16</v>
      </c>
      <c r="B19" s="256" t="s">
        <v>515</v>
      </c>
      <c r="C19" s="250" t="s">
        <v>267</v>
      </c>
      <c r="D19" s="243" t="s">
        <v>516</v>
      </c>
      <c r="E19" s="253" t="s">
        <v>49</v>
      </c>
      <c r="F19" s="250">
        <v>31</v>
      </c>
      <c r="G19" s="249">
        <v>0</v>
      </c>
      <c r="H19" s="249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51" t="s">
        <v>517</v>
      </c>
      <c r="P19" s="246"/>
      <c r="Q19" s="246"/>
      <c r="R19" s="246"/>
      <c r="S19" s="263"/>
      <c r="T19" s="263"/>
      <c r="U19" s="267">
        <v>2400</v>
      </c>
      <c r="V19" s="265">
        <v>1300</v>
      </c>
      <c r="W19" s="266">
        <v>300</v>
      </c>
      <c r="X19" s="266">
        <v>200</v>
      </c>
      <c r="Y19" s="266">
        <v>200</v>
      </c>
      <c r="Z19" s="266">
        <v>200</v>
      </c>
      <c r="AA19" s="266">
        <v>100</v>
      </c>
      <c r="AB19" s="266">
        <v>100</v>
      </c>
      <c r="AC19" s="266">
        <f t="shared" si="3"/>
        <v>2400</v>
      </c>
      <c r="AD19" s="266">
        <v>1170</v>
      </c>
      <c r="AE19" s="266"/>
      <c r="AF19" s="266"/>
      <c r="AG19" s="71">
        <v>0</v>
      </c>
      <c r="AH19" s="71">
        <v>0</v>
      </c>
      <c r="AI19" s="71">
        <v>0</v>
      </c>
      <c r="AJ19" s="71">
        <f t="shared" si="4"/>
        <v>0</v>
      </c>
      <c r="AK19" s="71">
        <f t="shared" si="5"/>
        <v>3570</v>
      </c>
      <c r="AL19" s="71">
        <f t="shared" si="6"/>
        <v>0</v>
      </c>
      <c r="AM19" s="73">
        <f t="shared" si="0"/>
        <v>0</v>
      </c>
      <c r="AN19" s="73">
        <f t="shared" si="1"/>
        <v>0</v>
      </c>
      <c r="AO19" s="71"/>
      <c r="AP19" s="73"/>
      <c r="AQ19" s="73">
        <f t="shared" si="7"/>
        <v>0</v>
      </c>
      <c r="AR19" s="73">
        <f t="shared" si="8"/>
        <v>3570</v>
      </c>
      <c r="AS19" s="250"/>
      <c r="AT19" s="275" t="s">
        <v>517</v>
      </c>
      <c r="AU19" s="276"/>
    </row>
    <row r="20" s="224" customFormat="1" ht="110" customHeight="1" spans="1:47">
      <c r="A20" s="240">
        <f t="shared" si="9"/>
        <v>17</v>
      </c>
      <c r="B20" s="256" t="s">
        <v>518</v>
      </c>
      <c r="C20" s="250" t="s">
        <v>267</v>
      </c>
      <c r="D20" s="243" t="s">
        <v>519</v>
      </c>
      <c r="E20" s="253" t="s">
        <v>49</v>
      </c>
      <c r="F20" s="248">
        <v>31</v>
      </c>
      <c r="G20" s="246">
        <v>0</v>
      </c>
      <c r="H20" s="249">
        <v>0</v>
      </c>
      <c r="I20" s="246">
        <v>0</v>
      </c>
      <c r="J20" s="246">
        <v>0</v>
      </c>
      <c r="K20" s="246">
        <v>0</v>
      </c>
      <c r="L20" s="246">
        <v>0</v>
      </c>
      <c r="M20" s="246">
        <v>0</v>
      </c>
      <c r="N20" s="246">
        <v>0</v>
      </c>
      <c r="O20" s="251" t="s">
        <v>520</v>
      </c>
      <c r="P20" s="246"/>
      <c r="Q20" s="246"/>
      <c r="R20" s="246"/>
      <c r="S20" s="263"/>
      <c r="T20" s="263"/>
      <c r="U20" s="267">
        <v>2400</v>
      </c>
      <c r="V20" s="265">
        <v>1300</v>
      </c>
      <c r="W20" s="266">
        <v>300</v>
      </c>
      <c r="X20" s="266">
        <v>200</v>
      </c>
      <c r="Y20" s="266">
        <v>200</v>
      </c>
      <c r="Z20" s="266">
        <v>200</v>
      </c>
      <c r="AA20" s="266">
        <v>100</v>
      </c>
      <c r="AB20" s="266">
        <v>100</v>
      </c>
      <c r="AC20" s="266">
        <f t="shared" si="3"/>
        <v>2400</v>
      </c>
      <c r="AD20" s="266">
        <v>628.7</v>
      </c>
      <c r="AE20" s="266"/>
      <c r="AF20" s="266"/>
      <c r="AG20" s="71">
        <v>0</v>
      </c>
      <c r="AH20" s="71">
        <v>0</v>
      </c>
      <c r="AI20" s="71">
        <v>0</v>
      </c>
      <c r="AJ20" s="71">
        <f t="shared" si="4"/>
        <v>0</v>
      </c>
      <c r="AK20" s="71">
        <f t="shared" si="5"/>
        <v>3028.7</v>
      </c>
      <c r="AL20" s="71">
        <f t="shared" si="6"/>
        <v>0</v>
      </c>
      <c r="AM20" s="73">
        <f t="shared" si="0"/>
        <v>0</v>
      </c>
      <c r="AN20" s="73">
        <f t="shared" si="1"/>
        <v>0</v>
      </c>
      <c r="AO20" s="71"/>
      <c r="AP20" s="73"/>
      <c r="AQ20" s="73">
        <f t="shared" si="7"/>
        <v>0</v>
      </c>
      <c r="AR20" s="73">
        <f t="shared" si="8"/>
        <v>3028.7</v>
      </c>
      <c r="AS20" s="250"/>
      <c r="AT20" s="275" t="s">
        <v>521</v>
      </c>
      <c r="AU20" s="276"/>
    </row>
    <row r="21" s="224" customFormat="1" ht="30" customHeight="1" spans="1:47">
      <c r="A21" s="240">
        <f t="shared" si="9"/>
        <v>18</v>
      </c>
      <c r="B21" s="255" t="s">
        <v>522</v>
      </c>
      <c r="C21" s="250" t="s">
        <v>523</v>
      </c>
      <c r="D21" s="243" t="s">
        <v>489</v>
      </c>
      <c r="E21" s="244" t="s">
        <v>49</v>
      </c>
      <c r="F21" s="250">
        <v>31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6">
        <v>0</v>
      </c>
      <c r="O21" s="251" t="s">
        <v>275</v>
      </c>
      <c r="P21" s="246">
        <v>0</v>
      </c>
      <c r="Q21" s="246">
        <v>0</v>
      </c>
      <c r="R21" s="246">
        <v>0</v>
      </c>
      <c r="S21" s="263"/>
      <c r="T21" s="263">
        <v>100</v>
      </c>
      <c r="U21" s="267">
        <v>1700</v>
      </c>
      <c r="V21" s="265">
        <v>1000</v>
      </c>
      <c r="W21" s="266">
        <v>200</v>
      </c>
      <c r="X21" s="266">
        <v>100</v>
      </c>
      <c r="Y21" s="266">
        <v>100</v>
      </c>
      <c r="Z21" s="266">
        <v>100</v>
      </c>
      <c r="AA21" s="266">
        <v>100</v>
      </c>
      <c r="AB21" s="266">
        <v>100</v>
      </c>
      <c r="AC21" s="266">
        <f t="shared" si="3"/>
        <v>1700</v>
      </c>
      <c r="AD21" s="266"/>
      <c r="AE21" s="266"/>
      <c r="AF21" s="266"/>
      <c r="AG21" s="71">
        <v>0</v>
      </c>
      <c r="AH21" s="71">
        <v>0</v>
      </c>
      <c r="AI21" s="71">
        <v>0</v>
      </c>
      <c r="AJ21" s="71">
        <f t="shared" si="4"/>
        <v>100</v>
      </c>
      <c r="AK21" s="71">
        <f t="shared" si="5"/>
        <v>1800</v>
      </c>
      <c r="AL21" s="71">
        <f t="shared" si="6"/>
        <v>0</v>
      </c>
      <c r="AM21" s="73">
        <f t="shared" si="0"/>
        <v>0</v>
      </c>
      <c r="AN21" s="73">
        <f t="shared" si="1"/>
        <v>0</v>
      </c>
      <c r="AO21" s="71"/>
      <c r="AP21" s="73"/>
      <c r="AQ21" s="73">
        <f t="shared" si="7"/>
        <v>0</v>
      </c>
      <c r="AR21" s="73">
        <f t="shared" si="8"/>
        <v>1800</v>
      </c>
      <c r="AS21" s="250"/>
      <c r="AT21" s="275" t="s">
        <v>275</v>
      </c>
      <c r="AU21" s="276"/>
    </row>
    <row r="22" s="224" customFormat="1" ht="30" customHeight="1" spans="1:47">
      <c r="A22" s="240">
        <f t="shared" si="9"/>
        <v>19</v>
      </c>
      <c r="B22" s="255" t="s">
        <v>524</v>
      </c>
      <c r="C22" s="250" t="s">
        <v>523</v>
      </c>
      <c r="D22" s="243" t="s">
        <v>489</v>
      </c>
      <c r="E22" s="244" t="s">
        <v>49</v>
      </c>
      <c r="F22" s="248">
        <v>31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246">
        <v>0</v>
      </c>
      <c r="O22" s="251" t="s">
        <v>254</v>
      </c>
      <c r="P22" s="246">
        <v>0</v>
      </c>
      <c r="Q22" s="246">
        <v>0</v>
      </c>
      <c r="R22" s="246">
        <v>0</v>
      </c>
      <c r="S22" s="263"/>
      <c r="T22" s="263"/>
      <c r="U22" s="267">
        <v>1700</v>
      </c>
      <c r="V22" s="265">
        <v>1000</v>
      </c>
      <c r="W22" s="266">
        <v>200</v>
      </c>
      <c r="X22" s="266">
        <v>100</v>
      </c>
      <c r="Y22" s="266">
        <v>100</v>
      </c>
      <c r="Z22" s="266">
        <v>100</v>
      </c>
      <c r="AA22" s="266">
        <v>100</v>
      </c>
      <c r="AB22" s="266">
        <v>100</v>
      </c>
      <c r="AC22" s="266">
        <f t="shared" si="3"/>
        <v>1700</v>
      </c>
      <c r="AD22" s="266"/>
      <c r="AE22" s="266"/>
      <c r="AF22" s="266"/>
      <c r="AG22" s="71">
        <v>0</v>
      </c>
      <c r="AH22" s="71">
        <v>0</v>
      </c>
      <c r="AI22" s="71">
        <v>0</v>
      </c>
      <c r="AJ22" s="71">
        <f t="shared" si="4"/>
        <v>0</v>
      </c>
      <c r="AK22" s="71">
        <f t="shared" si="5"/>
        <v>1700</v>
      </c>
      <c r="AL22" s="71">
        <f t="shared" si="6"/>
        <v>0</v>
      </c>
      <c r="AM22" s="73">
        <f t="shared" si="0"/>
        <v>0</v>
      </c>
      <c r="AN22" s="73">
        <f t="shared" si="1"/>
        <v>0</v>
      </c>
      <c r="AO22" s="71"/>
      <c r="AP22" s="73"/>
      <c r="AQ22" s="73">
        <f t="shared" si="7"/>
        <v>0</v>
      </c>
      <c r="AR22" s="73">
        <f t="shared" si="8"/>
        <v>1700</v>
      </c>
      <c r="AS22" s="250"/>
      <c r="AT22" s="275" t="s">
        <v>254</v>
      </c>
      <c r="AU22" s="276"/>
    </row>
    <row r="23" s="224" customFormat="1" ht="30" customHeight="1" spans="1:47">
      <c r="A23" s="240">
        <f t="shared" si="9"/>
        <v>20</v>
      </c>
      <c r="B23" s="255" t="s">
        <v>525</v>
      </c>
      <c r="C23" s="250" t="s">
        <v>267</v>
      </c>
      <c r="D23" s="243" t="s">
        <v>265</v>
      </c>
      <c r="E23" s="244" t="s">
        <v>49</v>
      </c>
      <c r="F23" s="250">
        <v>31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51" t="s">
        <v>254</v>
      </c>
      <c r="P23" s="246">
        <v>0</v>
      </c>
      <c r="Q23" s="246">
        <v>0</v>
      </c>
      <c r="R23" s="246">
        <v>0</v>
      </c>
      <c r="S23" s="263"/>
      <c r="T23" s="263"/>
      <c r="U23" s="267">
        <v>2300</v>
      </c>
      <c r="V23" s="265">
        <v>1200</v>
      </c>
      <c r="W23" s="266">
        <v>300</v>
      </c>
      <c r="X23" s="266">
        <v>200</v>
      </c>
      <c r="Y23" s="266">
        <v>200</v>
      </c>
      <c r="Z23" s="266">
        <v>200</v>
      </c>
      <c r="AA23" s="266">
        <v>100</v>
      </c>
      <c r="AB23" s="266">
        <v>100</v>
      </c>
      <c r="AC23" s="266">
        <f t="shared" si="3"/>
        <v>2300</v>
      </c>
      <c r="AD23" s="266"/>
      <c r="AE23" s="266"/>
      <c r="AF23" s="266"/>
      <c r="AG23" s="71">
        <v>0</v>
      </c>
      <c r="AH23" s="71">
        <v>0</v>
      </c>
      <c r="AI23" s="71">
        <v>0</v>
      </c>
      <c r="AJ23" s="71">
        <f t="shared" si="4"/>
        <v>0</v>
      </c>
      <c r="AK23" s="71">
        <f t="shared" si="5"/>
        <v>2300</v>
      </c>
      <c r="AL23" s="71">
        <f t="shared" si="6"/>
        <v>0</v>
      </c>
      <c r="AM23" s="73">
        <f t="shared" si="0"/>
        <v>0</v>
      </c>
      <c r="AN23" s="73">
        <f t="shared" si="1"/>
        <v>0</v>
      </c>
      <c r="AO23" s="71"/>
      <c r="AP23" s="73"/>
      <c r="AQ23" s="73">
        <f t="shared" si="7"/>
        <v>0</v>
      </c>
      <c r="AR23" s="73">
        <f t="shared" si="8"/>
        <v>2300</v>
      </c>
      <c r="AS23" s="250"/>
      <c r="AT23" s="275" t="s">
        <v>254</v>
      </c>
      <c r="AU23" s="276"/>
    </row>
    <row r="24" s="224" customFormat="1" ht="30" customHeight="1" spans="1:47">
      <c r="A24" s="240">
        <f t="shared" si="9"/>
        <v>21</v>
      </c>
      <c r="B24" s="255" t="s">
        <v>526</v>
      </c>
      <c r="C24" s="250" t="s">
        <v>267</v>
      </c>
      <c r="D24" s="243" t="s">
        <v>265</v>
      </c>
      <c r="E24" s="244" t="s">
        <v>49</v>
      </c>
      <c r="F24" s="248">
        <v>31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46">
        <v>0</v>
      </c>
      <c r="M24" s="246">
        <v>0</v>
      </c>
      <c r="N24" s="246">
        <v>0</v>
      </c>
      <c r="O24" s="251" t="s">
        <v>254</v>
      </c>
      <c r="P24" s="246">
        <v>0</v>
      </c>
      <c r="Q24" s="246">
        <v>0</v>
      </c>
      <c r="R24" s="246">
        <v>0</v>
      </c>
      <c r="S24" s="263"/>
      <c r="T24" s="263"/>
      <c r="U24" s="267">
        <v>2300</v>
      </c>
      <c r="V24" s="265">
        <v>1200</v>
      </c>
      <c r="W24" s="266">
        <v>300</v>
      </c>
      <c r="X24" s="266">
        <v>200</v>
      </c>
      <c r="Y24" s="266">
        <v>200</v>
      </c>
      <c r="Z24" s="266">
        <v>200</v>
      </c>
      <c r="AA24" s="266">
        <v>100</v>
      </c>
      <c r="AB24" s="266">
        <v>100</v>
      </c>
      <c r="AC24" s="266">
        <f t="shared" si="3"/>
        <v>2300</v>
      </c>
      <c r="AD24" s="266"/>
      <c r="AE24" s="266"/>
      <c r="AF24" s="266"/>
      <c r="AG24" s="71">
        <v>0</v>
      </c>
      <c r="AH24" s="71">
        <v>0</v>
      </c>
      <c r="AI24" s="71">
        <v>0</v>
      </c>
      <c r="AJ24" s="71">
        <f t="shared" si="4"/>
        <v>0</v>
      </c>
      <c r="AK24" s="71">
        <f t="shared" si="5"/>
        <v>2300</v>
      </c>
      <c r="AL24" s="71">
        <f t="shared" si="6"/>
        <v>0</v>
      </c>
      <c r="AM24" s="73">
        <f t="shared" si="0"/>
        <v>0</v>
      </c>
      <c r="AN24" s="73">
        <f t="shared" si="1"/>
        <v>0</v>
      </c>
      <c r="AO24" s="71"/>
      <c r="AP24" s="73"/>
      <c r="AQ24" s="73">
        <f t="shared" si="7"/>
        <v>0</v>
      </c>
      <c r="AR24" s="73">
        <f t="shared" si="8"/>
        <v>2300</v>
      </c>
      <c r="AS24" s="250"/>
      <c r="AT24" s="275" t="s">
        <v>254</v>
      </c>
      <c r="AU24" s="276"/>
    </row>
    <row r="25" s="224" customFormat="1" ht="30" customHeight="1" spans="1:47">
      <c r="A25" s="240">
        <f t="shared" ref="A25:A34" si="10">ROW()-3</f>
        <v>22</v>
      </c>
      <c r="B25" s="255" t="s">
        <v>527</v>
      </c>
      <c r="C25" s="250" t="s">
        <v>267</v>
      </c>
      <c r="D25" s="243" t="s">
        <v>404</v>
      </c>
      <c r="E25" s="244" t="s">
        <v>49</v>
      </c>
      <c r="F25" s="250">
        <v>31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51" t="s">
        <v>254</v>
      </c>
      <c r="P25" s="246">
        <v>0</v>
      </c>
      <c r="Q25" s="246">
        <v>0</v>
      </c>
      <c r="R25" s="246">
        <v>0</v>
      </c>
      <c r="S25" s="263"/>
      <c r="T25" s="263"/>
      <c r="U25" s="267">
        <v>2300</v>
      </c>
      <c r="V25" s="265">
        <v>1200</v>
      </c>
      <c r="W25" s="266">
        <v>300</v>
      </c>
      <c r="X25" s="266">
        <v>200</v>
      </c>
      <c r="Y25" s="266">
        <v>200</v>
      </c>
      <c r="Z25" s="266">
        <v>200</v>
      </c>
      <c r="AA25" s="266">
        <v>100</v>
      </c>
      <c r="AB25" s="266">
        <v>100</v>
      </c>
      <c r="AC25" s="266">
        <f t="shared" si="3"/>
        <v>2300</v>
      </c>
      <c r="AD25" s="266"/>
      <c r="AE25" s="266"/>
      <c r="AF25" s="266"/>
      <c r="AG25" s="71">
        <v>0</v>
      </c>
      <c r="AH25" s="71">
        <v>0</v>
      </c>
      <c r="AI25" s="71">
        <v>0</v>
      </c>
      <c r="AJ25" s="71">
        <f t="shared" si="4"/>
        <v>0</v>
      </c>
      <c r="AK25" s="71">
        <f t="shared" si="5"/>
        <v>2300</v>
      </c>
      <c r="AL25" s="71">
        <f t="shared" si="6"/>
        <v>0</v>
      </c>
      <c r="AM25" s="73">
        <f t="shared" si="0"/>
        <v>0</v>
      </c>
      <c r="AN25" s="73">
        <f t="shared" si="1"/>
        <v>0</v>
      </c>
      <c r="AO25" s="71"/>
      <c r="AP25" s="73"/>
      <c r="AQ25" s="73">
        <f t="shared" si="7"/>
        <v>0</v>
      </c>
      <c r="AR25" s="73">
        <f t="shared" si="8"/>
        <v>2300</v>
      </c>
      <c r="AS25" s="250"/>
      <c r="AT25" s="275" t="s">
        <v>254</v>
      </c>
      <c r="AU25" s="276"/>
    </row>
    <row r="26" s="224" customFormat="1" ht="30" customHeight="1" spans="1:47">
      <c r="A26" s="240">
        <f t="shared" si="10"/>
        <v>23</v>
      </c>
      <c r="B26" s="255" t="s">
        <v>528</v>
      </c>
      <c r="C26" s="250" t="s">
        <v>267</v>
      </c>
      <c r="D26" s="243" t="s">
        <v>265</v>
      </c>
      <c r="E26" s="244" t="s">
        <v>49</v>
      </c>
      <c r="F26" s="248">
        <v>31</v>
      </c>
      <c r="G26" s="246">
        <v>0</v>
      </c>
      <c r="H26" s="246">
        <v>0</v>
      </c>
      <c r="I26" s="246">
        <v>0</v>
      </c>
      <c r="J26" s="246">
        <v>0</v>
      </c>
      <c r="K26" s="246">
        <v>0</v>
      </c>
      <c r="L26" s="246">
        <v>0</v>
      </c>
      <c r="M26" s="246">
        <v>0</v>
      </c>
      <c r="N26" s="246">
        <v>0</v>
      </c>
      <c r="O26" s="251" t="s">
        <v>275</v>
      </c>
      <c r="P26" s="246">
        <v>0</v>
      </c>
      <c r="Q26" s="246">
        <v>0</v>
      </c>
      <c r="R26" s="246">
        <v>0</v>
      </c>
      <c r="S26" s="263"/>
      <c r="T26" s="263">
        <v>100</v>
      </c>
      <c r="U26" s="267">
        <v>2300</v>
      </c>
      <c r="V26" s="265">
        <v>1200</v>
      </c>
      <c r="W26" s="266">
        <v>300</v>
      </c>
      <c r="X26" s="266">
        <v>200</v>
      </c>
      <c r="Y26" s="266">
        <v>200</v>
      </c>
      <c r="Z26" s="266">
        <v>200</v>
      </c>
      <c r="AA26" s="266">
        <v>100</v>
      </c>
      <c r="AB26" s="266">
        <v>100</v>
      </c>
      <c r="AC26" s="266">
        <f t="shared" si="3"/>
        <v>2300</v>
      </c>
      <c r="AD26" s="266"/>
      <c r="AE26" s="266"/>
      <c r="AF26" s="266"/>
      <c r="AG26" s="71">
        <v>0</v>
      </c>
      <c r="AH26" s="71">
        <v>0</v>
      </c>
      <c r="AI26" s="71">
        <v>0</v>
      </c>
      <c r="AJ26" s="71">
        <f t="shared" si="4"/>
        <v>100</v>
      </c>
      <c r="AK26" s="71">
        <f t="shared" si="5"/>
        <v>2400</v>
      </c>
      <c r="AL26" s="71">
        <f t="shared" si="6"/>
        <v>0</v>
      </c>
      <c r="AM26" s="73">
        <f t="shared" si="0"/>
        <v>0</v>
      </c>
      <c r="AN26" s="73">
        <f t="shared" si="1"/>
        <v>0</v>
      </c>
      <c r="AO26" s="71"/>
      <c r="AP26" s="73"/>
      <c r="AQ26" s="73">
        <f t="shared" si="7"/>
        <v>0</v>
      </c>
      <c r="AR26" s="73">
        <f t="shared" si="8"/>
        <v>2400</v>
      </c>
      <c r="AS26" s="250"/>
      <c r="AT26" s="275" t="s">
        <v>275</v>
      </c>
      <c r="AU26" s="276"/>
    </row>
    <row r="27" s="224" customFormat="1" ht="30" customHeight="1" spans="1:47">
      <c r="A27" s="240">
        <f t="shared" si="10"/>
        <v>24</v>
      </c>
      <c r="B27" s="255" t="s">
        <v>529</v>
      </c>
      <c r="C27" s="250" t="s">
        <v>530</v>
      </c>
      <c r="D27" s="243" t="s">
        <v>489</v>
      </c>
      <c r="E27" s="244" t="s">
        <v>49</v>
      </c>
      <c r="F27" s="250">
        <v>31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6">
        <v>0</v>
      </c>
      <c r="O27" s="251" t="s">
        <v>307</v>
      </c>
      <c r="P27" s="246">
        <v>0</v>
      </c>
      <c r="Q27" s="246">
        <v>0</v>
      </c>
      <c r="R27" s="246">
        <v>0</v>
      </c>
      <c r="S27" s="263"/>
      <c r="T27" s="263">
        <v>200</v>
      </c>
      <c r="U27" s="267">
        <v>2600</v>
      </c>
      <c r="V27" s="265">
        <v>1300</v>
      </c>
      <c r="W27" s="266">
        <v>500</v>
      </c>
      <c r="X27" s="266">
        <v>300</v>
      </c>
      <c r="Y27" s="266">
        <v>100</v>
      </c>
      <c r="Z27" s="266">
        <v>100</v>
      </c>
      <c r="AA27" s="266">
        <v>100</v>
      </c>
      <c r="AB27" s="266">
        <v>200</v>
      </c>
      <c r="AC27" s="266">
        <f t="shared" si="3"/>
        <v>2600</v>
      </c>
      <c r="AD27" s="266"/>
      <c r="AE27" s="266"/>
      <c r="AF27" s="266"/>
      <c r="AG27" s="71">
        <v>0</v>
      </c>
      <c r="AH27" s="71">
        <v>0</v>
      </c>
      <c r="AI27" s="71">
        <v>0</v>
      </c>
      <c r="AJ27" s="71">
        <f t="shared" si="4"/>
        <v>200</v>
      </c>
      <c r="AK27" s="71">
        <f t="shared" si="5"/>
        <v>2800</v>
      </c>
      <c r="AL27" s="71">
        <f t="shared" si="6"/>
        <v>0</v>
      </c>
      <c r="AM27" s="73">
        <f t="shared" si="0"/>
        <v>0</v>
      </c>
      <c r="AN27" s="73">
        <f t="shared" si="1"/>
        <v>0</v>
      </c>
      <c r="AO27" s="71"/>
      <c r="AP27" s="73"/>
      <c r="AQ27" s="73">
        <f t="shared" si="7"/>
        <v>0</v>
      </c>
      <c r="AR27" s="73">
        <f t="shared" si="8"/>
        <v>2800</v>
      </c>
      <c r="AS27" s="250"/>
      <c r="AT27" s="275" t="s">
        <v>307</v>
      </c>
      <c r="AU27" s="276"/>
    </row>
    <row r="28" s="224" customFormat="1" ht="30" customHeight="1" spans="1:47">
      <c r="A28" s="240">
        <f t="shared" si="10"/>
        <v>25</v>
      </c>
      <c r="B28" s="255" t="s">
        <v>531</v>
      </c>
      <c r="C28" s="250" t="s">
        <v>530</v>
      </c>
      <c r="D28" s="243" t="s">
        <v>486</v>
      </c>
      <c r="E28" s="244" t="s">
        <v>49</v>
      </c>
      <c r="F28" s="248">
        <v>31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6">
        <v>0</v>
      </c>
      <c r="O28" s="251" t="s">
        <v>254</v>
      </c>
      <c r="P28" s="246">
        <v>0</v>
      </c>
      <c r="Q28" s="246">
        <v>0</v>
      </c>
      <c r="R28" s="246">
        <v>0</v>
      </c>
      <c r="S28" s="263"/>
      <c r="T28" s="263"/>
      <c r="U28" s="267">
        <v>2600</v>
      </c>
      <c r="V28" s="265">
        <v>1300</v>
      </c>
      <c r="W28" s="266">
        <v>500</v>
      </c>
      <c r="X28" s="266">
        <v>300</v>
      </c>
      <c r="Y28" s="266">
        <v>100</v>
      </c>
      <c r="Z28" s="266">
        <v>100</v>
      </c>
      <c r="AA28" s="266">
        <v>100</v>
      </c>
      <c r="AB28" s="266">
        <v>200</v>
      </c>
      <c r="AC28" s="266">
        <f t="shared" si="3"/>
        <v>2600</v>
      </c>
      <c r="AD28" s="266"/>
      <c r="AE28" s="266"/>
      <c r="AF28" s="266"/>
      <c r="AG28" s="71">
        <v>0</v>
      </c>
      <c r="AH28" s="71">
        <v>0</v>
      </c>
      <c r="AI28" s="71">
        <v>0</v>
      </c>
      <c r="AJ28" s="71">
        <f t="shared" si="4"/>
        <v>0</v>
      </c>
      <c r="AK28" s="71">
        <f t="shared" si="5"/>
        <v>2600</v>
      </c>
      <c r="AL28" s="71">
        <f t="shared" si="6"/>
        <v>0</v>
      </c>
      <c r="AM28" s="73">
        <f t="shared" si="0"/>
        <v>0</v>
      </c>
      <c r="AN28" s="73">
        <f t="shared" si="1"/>
        <v>0</v>
      </c>
      <c r="AO28" s="71"/>
      <c r="AP28" s="73"/>
      <c r="AQ28" s="73">
        <f t="shared" si="7"/>
        <v>0</v>
      </c>
      <c r="AR28" s="73">
        <f t="shared" si="8"/>
        <v>2600</v>
      </c>
      <c r="AS28" s="250"/>
      <c r="AT28" s="275" t="s">
        <v>254</v>
      </c>
      <c r="AU28" s="276"/>
    </row>
    <row r="29" s="224" customFormat="1" ht="30" customHeight="1" spans="1:47">
      <c r="A29" s="240">
        <f t="shared" si="10"/>
        <v>26</v>
      </c>
      <c r="B29" s="255" t="s">
        <v>532</v>
      </c>
      <c r="C29" s="252" t="s">
        <v>273</v>
      </c>
      <c r="D29" s="243" t="s">
        <v>480</v>
      </c>
      <c r="E29" s="244" t="s">
        <v>49</v>
      </c>
      <c r="F29" s="245">
        <v>31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51" t="s">
        <v>254</v>
      </c>
      <c r="P29" s="246">
        <v>0</v>
      </c>
      <c r="Q29" s="246">
        <v>0</v>
      </c>
      <c r="R29" s="246">
        <v>0</v>
      </c>
      <c r="S29" s="263"/>
      <c r="T29" s="263"/>
      <c r="U29" s="267">
        <v>1900</v>
      </c>
      <c r="V29" s="265">
        <v>1000</v>
      </c>
      <c r="W29" s="266">
        <v>300</v>
      </c>
      <c r="X29" s="266">
        <v>100</v>
      </c>
      <c r="Y29" s="266">
        <v>100</v>
      </c>
      <c r="Z29" s="266">
        <v>100</v>
      </c>
      <c r="AA29" s="266">
        <v>100</v>
      </c>
      <c r="AB29" s="266">
        <v>200</v>
      </c>
      <c r="AC29" s="266">
        <f t="shared" si="3"/>
        <v>1900</v>
      </c>
      <c r="AD29" s="266"/>
      <c r="AE29" s="266"/>
      <c r="AF29" s="266"/>
      <c r="AG29" s="71">
        <v>0</v>
      </c>
      <c r="AH29" s="71">
        <v>0</v>
      </c>
      <c r="AI29" s="71">
        <v>0</v>
      </c>
      <c r="AJ29" s="71">
        <f t="shared" si="4"/>
        <v>0</v>
      </c>
      <c r="AK29" s="71">
        <f t="shared" si="5"/>
        <v>1900</v>
      </c>
      <c r="AL29" s="71">
        <f t="shared" si="6"/>
        <v>0</v>
      </c>
      <c r="AM29" s="73">
        <f t="shared" si="0"/>
        <v>0</v>
      </c>
      <c r="AN29" s="73">
        <f t="shared" si="1"/>
        <v>0</v>
      </c>
      <c r="AO29" s="71"/>
      <c r="AP29" s="73"/>
      <c r="AQ29" s="73">
        <f t="shared" si="7"/>
        <v>0</v>
      </c>
      <c r="AR29" s="73">
        <f t="shared" si="8"/>
        <v>1900</v>
      </c>
      <c r="AS29" s="250"/>
      <c r="AT29" s="275" t="s">
        <v>254</v>
      </c>
      <c r="AU29" s="276"/>
    </row>
    <row r="30" s="224" customFormat="1" ht="30" customHeight="1" spans="1:47">
      <c r="A30" s="240">
        <f t="shared" si="10"/>
        <v>27</v>
      </c>
      <c r="B30" s="255" t="s">
        <v>533</v>
      </c>
      <c r="C30" s="252" t="s">
        <v>273</v>
      </c>
      <c r="D30" s="243" t="s">
        <v>480</v>
      </c>
      <c r="E30" s="244" t="s">
        <v>49</v>
      </c>
      <c r="F30" s="250">
        <v>31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  <c r="N30" s="246">
        <v>0</v>
      </c>
      <c r="O30" s="251" t="s">
        <v>254</v>
      </c>
      <c r="P30" s="246">
        <v>0</v>
      </c>
      <c r="Q30" s="246">
        <v>0</v>
      </c>
      <c r="R30" s="246">
        <v>0</v>
      </c>
      <c r="S30" s="263"/>
      <c r="T30" s="263"/>
      <c r="U30" s="267">
        <v>1900</v>
      </c>
      <c r="V30" s="265">
        <v>1000</v>
      </c>
      <c r="W30" s="266">
        <v>300</v>
      </c>
      <c r="X30" s="266">
        <v>100</v>
      </c>
      <c r="Y30" s="266">
        <v>100</v>
      </c>
      <c r="Z30" s="266">
        <v>100</v>
      </c>
      <c r="AA30" s="266">
        <v>100</v>
      </c>
      <c r="AB30" s="266">
        <v>200</v>
      </c>
      <c r="AC30" s="266">
        <f t="shared" si="3"/>
        <v>1900</v>
      </c>
      <c r="AD30" s="266"/>
      <c r="AE30" s="266"/>
      <c r="AF30" s="266"/>
      <c r="AG30" s="71">
        <v>0</v>
      </c>
      <c r="AH30" s="71">
        <v>0</v>
      </c>
      <c r="AI30" s="71">
        <v>0</v>
      </c>
      <c r="AJ30" s="71">
        <f t="shared" si="4"/>
        <v>0</v>
      </c>
      <c r="AK30" s="71">
        <f t="shared" si="5"/>
        <v>1900</v>
      </c>
      <c r="AL30" s="71">
        <f t="shared" si="6"/>
        <v>0</v>
      </c>
      <c r="AM30" s="73">
        <f t="shared" si="0"/>
        <v>0</v>
      </c>
      <c r="AN30" s="73">
        <f t="shared" si="1"/>
        <v>0</v>
      </c>
      <c r="AO30" s="71"/>
      <c r="AP30" s="73"/>
      <c r="AQ30" s="73">
        <f t="shared" si="7"/>
        <v>0</v>
      </c>
      <c r="AR30" s="73">
        <f t="shared" si="8"/>
        <v>1900</v>
      </c>
      <c r="AS30" s="250"/>
      <c r="AT30" s="275" t="s">
        <v>254</v>
      </c>
      <c r="AU30" s="276"/>
    </row>
    <row r="31" s="224" customFormat="1" ht="30" customHeight="1" spans="1:47">
      <c r="A31" s="240">
        <f t="shared" si="10"/>
        <v>28</v>
      </c>
      <c r="B31" s="255" t="s">
        <v>534</v>
      </c>
      <c r="C31" s="250" t="s">
        <v>273</v>
      </c>
      <c r="D31" s="243" t="s">
        <v>480</v>
      </c>
      <c r="E31" s="244" t="s">
        <v>49</v>
      </c>
      <c r="F31" s="250">
        <v>31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51" t="s">
        <v>254</v>
      </c>
      <c r="P31" s="246">
        <v>0</v>
      </c>
      <c r="Q31" s="246">
        <v>0</v>
      </c>
      <c r="R31" s="246">
        <v>0</v>
      </c>
      <c r="S31" s="263"/>
      <c r="T31" s="263"/>
      <c r="U31" s="267">
        <v>1700</v>
      </c>
      <c r="V31" s="265">
        <v>1000</v>
      </c>
      <c r="W31" s="266">
        <v>100</v>
      </c>
      <c r="X31" s="266">
        <v>100</v>
      </c>
      <c r="Y31" s="266">
        <v>100</v>
      </c>
      <c r="Z31" s="266">
        <v>100</v>
      </c>
      <c r="AA31" s="266">
        <v>100</v>
      </c>
      <c r="AB31" s="266">
        <v>200</v>
      </c>
      <c r="AC31" s="266">
        <f t="shared" si="3"/>
        <v>1700</v>
      </c>
      <c r="AD31" s="266"/>
      <c r="AE31" s="266"/>
      <c r="AF31" s="266"/>
      <c r="AG31" s="71">
        <v>0</v>
      </c>
      <c r="AH31" s="71">
        <v>0</v>
      </c>
      <c r="AI31" s="71">
        <v>0</v>
      </c>
      <c r="AJ31" s="71">
        <f t="shared" si="4"/>
        <v>0</v>
      </c>
      <c r="AK31" s="71">
        <f t="shared" si="5"/>
        <v>1700</v>
      </c>
      <c r="AL31" s="71">
        <f t="shared" si="6"/>
        <v>0</v>
      </c>
      <c r="AM31" s="73">
        <f t="shared" si="0"/>
        <v>0</v>
      </c>
      <c r="AN31" s="73">
        <f t="shared" si="1"/>
        <v>0</v>
      </c>
      <c r="AO31" s="71"/>
      <c r="AP31" s="73"/>
      <c r="AQ31" s="73">
        <f t="shared" si="7"/>
        <v>0</v>
      </c>
      <c r="AR31" s="73">
        <f t="shared" si="8"/>
        <v>1700</v>
      </c>
      <c r="AS31" s="250"/>
      <c r="AT31" s="275" t="s">
        <v>254</v>
      </c>
      <c r="AU31" s="276"/>
    </row>
    <row r="32" s="224" customFormat="1" ht="30" customHeight="1" spans="1:47">
      <c r="A32" s="240">
        <f t="shared" si="10"/>
        <v>29</v>
      </c>
      <c r="B32" s="255" t="s">
        <v>535</v>
      </c>
      <c r="C32" s="252" t="s">
        <v>530</v>
      </c>
      <c r="D32" s="243" t="s">
        <v>265</v>
      </c>
      <c r="E32" s="244" t="s">
        <v>49</v>
      </c>
      <c r="F32" s="245">
        <v>31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51" t="s">
        <v>307</v>
      </c>
      <c r="P32" s="246">
        <v>0</v>
      </c>
      <c r="Q32" s="246">
        <v>0</v>
      </c>
      <c r="R32" s="246">
        <v>0</v>
      </c>
      <c r="S32" s="263"/>
      <c r="T32" s="263">
        <v>200</v>
      </c>
      <c r="U32" s="267">
        <v>2000</v>
      </c>
      <c r="V32" s="265">
        <v>1000</v>
      </c>
      <c r="W32" s="266">
        <v>400</v>
      </c>
      <c r="X32" s="266">
        <v>100</v>
      </c>
      <c r="Y32" s="266">
        <v>100</v>
      </c>
      <c r="Z32" s="266">
        <v>100</v>
      </c>
      <c r="AA32" s="266">
        <v>100</v>
      </c>
      <c r="AB32" s="266">
        <v>200</v>
      </c>
      <c r="AC32" s="266">
        <f t="shared" si="3"/>
        <v>2000</v>
      </c>
      <c r="AD32" s="266"/>
      <c r="AE32" s="266"/>
      <c r="AF32" s="266"/>
      <c r="AG32" s="71">
        <v>0</v>
      </c>
      <c r="AH32" s="71">
        <v>0</v>
      </c>
      <c r="AI32" s="71">
        <v>0</v>
      </c>
      <c r="AJ32" s="71">
        <f t="shared" si="4"/>
        <v>200</v>
      </c>
      <c r="AK32" s="71">
        <f t="shared" si="5"/>
        <v>2200</v>
      </c>
      <c r="AL32" s="71">
        <f t="shared" si="6"/>
        <v>0</v>
      </c>
      <c r="AM32" s="73">
        <f t="shared" si="0"/>
        <v>0</v>
      </c>
      <c r="AN32" s="73">
        <f t="shared" si="1"/>
        <v>0</v>
      </c>
      <c r="AO32" s="71"/>
      <c r="AP32" s="73"/>
      <c r="AQ32" s="73">
        <f t="shared" si="7"/>
        <v>0</v>
      </c>
      <c r="AR32" s="73">
        <f t="shared" si="8"/>
        <v>2200</v>
      </c>
      <c r="AS32" s="250"/>
      <c r="AT32" s="275" t="s">
        <v>307</v>
      </c>
      <c r="AU32" s="276"/>
    </row>
    <row r="33" s="224" customFormat="1" ht="30" customHeight="1" spans="1:47">
      <c r="A33" s="240">
        <f t="shared" si="10"/>
        <v>30</v>
      </c>
      <c r="B33" s="255" t="s">
        <v>536</v>
      </c>
      <c r="C33" s="252" t="s">
        <v>530</v>
      </c>
      <c r="D33" s="243" t="s">
        <v>480</v>
      </c>
      <c r="E33" s="244" t="s">
        <v>49</v>
      </c>
      <c r="F33" s="250">
        <v>31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51" t="s">
        <v>254</v>
      </c>
      <c r="P33" s="246">
        <v>0</v>
      </c>
      <c r="Q33" s="246">
        <v>0</v>
      </c>
      <c r="R33" s="246">
        <v>0</v>
      </c>
      <c r="S33" s="263"/>
      <c r="T33" s="263"/>
      <c r="U33" s="267">
        <v>2000</v>
      </c>
      <c r="V33" s="265">
        <v>1000</v>
      </c>
      <c r="W33" s="266">
        <v>400</v>
      </c>
      <c r="X33" s="266">
        <v>100</v>
      </c>
      <c r="Y33" s="266">
        <v>100</v>
      </c>
      <c r="Z33" s="266">
        <v>100</v>
      </c>
      <c r="AA33" s="266">
        <v>100</v>
      </c>
      <c r="AB33" s="266">
        <v>200</v>
      </c>
      <c r="AC33" s="266">
        <f t="shared" si="3"/>
        <v>2000</v>
      </c>
      <c r="AD33" s="266"/>
      <c r="AE33" s="266"/>
      <c r="AF33" s="266"/>
      <c r="AG33" s="71">
        <v>0</v>
      </c>
      <c r="AH33" s="71">
        <v>0</v>
      </c>
      <c r="AI33" s="71">
        <v>0</v>
      </c>
      <c r="AJ33" s="71">
        <f t="shared" si="4"/>
        <v>0</v>
      </c>
      <c r="AK33" s="71">
        <f t="shared" si="5"/>
        <v>2000</v>
      </c>
      <c r="AL33" s="71">
        <f t="shared" si="6"/>
        <v>0</v>
      </c>
      <c r="AM33" s="73">
        <f t="shared" si="0"/>
        <v>0</v>
      </c>
      <c r="AN33" s="73">
        <f t="shared" si="1"/>
        <v>0</v>
      </c>
      <c r="AO33" s="71"/>
      <c r="AP33" s="73"/>
      <c r="AQ33" s="73">
        <f t="shared" si="7"/>
        <v>0</v>
      </c>
      <c r="AR33" s="73">
        <f t="shared" si="8"/>
        <v>2000</v>
      </c>
      <c r="AS33" s="250"/>
      <c r="AT33" s="275" t="s">
        <v>254</v>
      </c>
      <c r="AU33" s="276"/>
    </row>
    <row r="34" s="224" customFormat="1" ht="30" customHeight="1" spans="1:47">
      <c r="A34" s="240">
        <f t="shared" si="10"/>
        <v>31</v>
      </c>
      <c r="B34" s="255" t="s">
        <v>537</v>
      </c>
      <c r="C34" s="252" t="s">
        <v>530</v>
      </c>
      <c r="D34" s="243" t="s">
        <v>480</v>
      </c>
      <c r="E34" s="244" t="s">
        <v>49</v>
      </c>
      <c r="F34" s="245">
        <v>31</v>
      </c>
      <c r="G34" s="246">
        <v>0</v>
      </c>
      <c r="H34" s="246">
        <v>0</v>
      </c>
      <c r="I34" s="246">
        <v>0</v>
      </c>
      <c r="J34" s="246">
        <v>0</v>
      </c>
      <c r="K34" s="246">
        <v>0</v>
      </c>
      <c r="L34" s="246">
        <v>0</v>
      </c>
      <c r="M34" s="246">
        <v>0</v>
      </c>
      <c r="N34" s="246">
        <v>0</v>
      </c>
      <c r="O34" s="251" t="s">
        <v>254</v>
      </c>
      <c r="P34" s="246">
        <v>0</v>
      </c>
      <c r="Q34" s="246">
        <v>0</v>
      </c>
      <c r="R34" s="246">
        <v>0</v>
      </c>
      <c r="S34" s="263"/>
      <c r="T34" s="263"/>
      <c r="U34" s="267">
        <v>2000</v>
      </c>
      <c r="V34" s="265">
        <v>1000</v>
      </c>
      <c r="W34" s="266">
        <v>400</v>
      </c>
      <c r="X34" s="266">
        <v>100</v>
      </c>
      <c r="Y34" s="266">
        <v>100</v>
      </c>
      <c r="Z34" s="266">
        <v>100</v>
      </c>
      <c r="AA34" s="266">
        <v>100</v>
      </c>
      <c r="AB34" s="266">
        <v>200</v>
      </c>
      <c r="AC34" s="266">
        <f t="shared" si="3"/>
        <v>2000</v>
      </c>
      <c r="AD34" s="266"/>
      <c r="AE34" s="266"/>
      <c r="AF34" s="266"/>
      <c r="AG34" s="71">
        <v>0</v>
      </c>
      <c r="AH34" s="71">
        <v>0</v>
      </c>
      <c r="AI34" s="71">
        <v>0</v>
      </c>
      <c r="AJ34" s="71">
        <f t="shared" si="4"/>
        <v>0</v>
      </c>
      <c r="AK34" s="71">
        <f t="shared" si="5"/>
        <v>2000</v>
      </c>
      <c r="AL34" s="71">
        <f t="shared" si="6"/>
        <v>0</v>
      </c>
      <c r="AM34" s="73">
        <f t="shared" si="0"/>
        <v>0</v>
      </c>
      <c r="AN34" s="73">
        <f t="shared" si="1"/>
        <v>0</v>
      </c>
      <c r="AO34" s="71"/>
      <c r="AP34" s="73"/>
      <c r="AQ34" s="73">
        <f t="shared" si="7"/>
        <v>0</v>
      </c>
      <c r="AR34" s="73">
        <f t="shared" si="8"/>
        <v>2000</v>
      </c>
      <c r="AS34" s="250"/>
      <c r="AT34" s="275" t="s">
        <v>254</v>
      </c>
      <c r="AU34" s="276"/>
    </row>
    <row r="35" s="224" customFormat="1" ht="30" customHeight="1" spans="1:47">
      <c r="A35" s="240">
        <f t="shared" ref="A35:A44" si="11">ROW()-3</f>
        <v>32</v>
      </c>
      <c r="B35" s="257" t="s">
        <v>538</v>
      </c>
      <c r="C35" s="242" t="s">
        <v>273</v>
      </c>
      <c r="D35" s="243" t="s">
        <v>539</v>
      </c>
      <c r="E35" s="258" t="s">
        <v>107</v>
      </c>
      <c r="F35" s="245">
        <v>20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6">
        <v>0</v>
      </c>
      <c r="N35" s="246">
        <v>0</v>
      </c>
      <c r="O35" s="261" t="s">
        <v>469</v>
      </c>
      <c r="P35" s="246">
        <v>0</v>
      </c>
      <c r="Q35" s="246">
        <v>0</v>
      </c>
      <c r="R35" s="246">
        <v>0</v>
      </c>
      <c r="S35" s="263"/>
      <c r="T35" s="263"/>
      <c r="U35" s="267">
        <v>1700</v>
      </c>
      <c r="V35" s="265">
        <f>1700/31*20</f>
        <v>1096.77419354839</v>
      </c>
      <c r="W35" s="266">
        <v>0</v>
      </c>
      <c r="X35" s="266">
        <v>0</v>
      </c>
      <c r="Y35" s="266">
        <v>0</v>
      </c>
      <c r="Z35" s="266">
        <v>0</v>
      </c>
      <c r="AA35" s="266">
        <v>0</v>
      </c>
      <c r="AB35" s="266">
        <v>0</v>
      </c>
      <c r="AC35" s="266">
        <f t="shared" si="3"/>
        <v>1096.77419354839</v>
      </c>
      <c r="AD35" s="266"/>
      <c r="AE35" s="266"/>
      <c r="AF35" s="266"/>
      <c r="AG35" s="71">
        <v>0</v>
      </c>
      <c r="AH35" s="71">
        <v>0</v>
      </c>
      <c r="AI35" s="71">
        <v>0</v>
      </c>
      <c r="AJ35" s="71">
        <f t="shared" si="4"/>
        <v>0</v>
      </c>
      <c r="AK35" s="71">
        <f t="shared" si="5"/>
        <v>1096.77419354839</v>
      </c>
      <c r="AL35" s="71">
        <f t="shared" si="6"/>
        <v>0</v>
      </c>
      <c r="AM35" s="73">
        <f t="shared" si="0"/>
        <v>0</v>
      </c>
      <c r="AN35" s="73">
        <f t="shared" si="1"/>
        <v>0</v>
      </c>
      <c r="AO35" s="71"/>
      <c r="AP35" s="73"/>
      <c r="AQ35" s="73">
        <f t="shared" si="7"/>
        <v>0</v>
      </c>
      <c r="AR35" s="73">
        <f t="shared" si="8"/>
        <v>1096.77419354839</v>
      </c>
      <c r="AS35" s="250"/>
      <c r="AT35" s="275" t="s">
        <v>469</v>
      </c>
      <c r="AU35" s="276"/>
    </row>
    <row r="36" s="224" customFormat="1" ht="30" customHeight="1" spans="1:47">
      <c r="A36" s="240">
        <f t="shared" si="11"/>
        <v>33</v>
      </c>
      <c r="B36" s="255" t="s">
        <v>540</v>
      </c>
      <c r="C36" s="242" t="s">
        <v>273</v>
      </c>
      <c r="D36" s="243" t="s">
        <v>541</v>
      </c>
      <c r="E36" s="244" t="s">
        <v>49</v>
      </c>
      <c r="F36" s="245">
        <v>31</v>
      </c>
      <c r="G36" s="246">
        <v>0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6">
        <v>0</v>
      </c>
      <c r="O36" s="251" t="s">
        <v>254</v>
      </c>
      <c r="P36" s="246">
        <v>0</v>
      </c>
      <c r="Q36" s="246">
        <v>0</v>
      </c>
      <c r="R36" s="246">
        <v>0</v>
      </c>
      <c r="S36" s="263"/>
      <c r="T36" s="263"/>
      <c r="U36" s="267">
        <v>1700</v>
      </c>
      <c r="V36" s="265">
        <v>1000</v>
      </c>
      <c r="W36" s="266">
        <v>100</v>
      </c>
      <c r="X36" s="266">
        <v>100</v>
      </c>
      <c r="Y36" s="266">
        <v>100</v>
      </c>
      <c r="Z36" s="266">
        <v>100</v>
      </c>
      <c r="AA36" s="266">
        <v>100</v>
      </c>
      <c r="AB36" s="266">
        <v>200</v>
      </c>
      <c r="AC36" s="266">
        <f t="shared" si="3"/>
        <v>1700</v>
      </c>
      <c r="AD36" s="266"/>
      <c r="AE36" s="266"/>
      <c r="AF36" s="266"/>
      <c r="AG36" s="71">
        <v>0</v>
      </c>
      <c r="AH36" s="71">
        <v>0</v>
      </c>
      <c r="AI36" s="71">
        <v>0</v>
      </c>
      <c r="AJ36" s="71">
        <f t="shared" si="4"/>
        <v>0</v>
      </c>
      <c r="AK36" s="71">
        <f t="shared" si="5"/>
        <v>1700</v>
      </c>
      <c r="AL36" s="71">
        <f t="shared" si="6"/>
        <v>0</v>
      </c>
      <c r="AM36" s="73">
        <f t="shared" si="0"/>
        <v>0</v>
      </c>
      <c r="AN36" s="73">
        <f t="shared" si="1"/>
        <v>0</v>
      </c>
      <c r="AO36" s="71"/>
      <c r="AP36" s="73"/>
      <c r="AQ36" s="73">
        <f t="shared" si="7"/>
        <v>0</v>
      </c>
      <c r="AR36" s="73">
        <f t="shared" si="8"/>
        <v>1700</v>
      </c>
      <c r="AS36" s="250"/>
      <c r="AT36" s="275" t="s">
        <v>254</v>
      </c>
      <c r="AU36" s="276"/>
    </row>
    <row r="37" s="226" customFormat="1" ht="30" customHeight="1" spans="1:47">
      <c r="A37" s="240">
        <f t="shared" si="11"/>
        <v>34</v>
      </c>
      <c r="B37" s="255" t="s">
        <v>542</v>
      </c>
      <c r="C37" s="250" t="s">
        <v>267</v>
      </c>
      <c r="D37" s="243" t="s">
        <v>489</v>
      </c>
      <c r="E37" s="244" t="s">
        <v>49</v>
      </c>
      <c r="F37" s="245">
        <v>31</v>
      </c>
      <c r="G37" s="251">
        <v>0</v>
      </c>
      <c r="H37" s="251">
        <v>0</v>
      </c>
      <c r="I37" s="251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v>0</v>
      </c>
      <c r="O37" s="251" t="s">
        <v>543</v>
      </c>
      <c r="P37" s="251">
        <v>0</v>
      </c>
      <c r="Q37" s="251">
        <v>0</v>
      </c>
      <c r="R37" s="251">
        <v>0</v>
      </c>
      <c r="S37" s="268">
        <v>0</v>
      </c>
      <c r="T37" s="268"/>
      <c r="U37" s="269">
        <v>2800</v>
      </c>
      <c r="V37" s="265">
        <v>1700</v>
      </c>
      <c r="W37" s="265">
        <v>300</v>
      </c>
      <c r="X37" s="265">
        <v>200</v>
      </c>
      <c r="Y37" s="265">
        <v>200</v>
      </c>
      <c r="Z37" s="265">
        <v>200</v>
      </c>
      <c r="AA37" s="265">
        <v>100</v>
      </c>
      <c r="AB37" s="265">
        <v>100</v>
      </c>
      <c r="AC37" s="266">
        <f t="shared" ref="AC37:AC68" si="12">SUM(V37:AB37)</f>
        <v>2800</v>
      </c>
      <c r="AD37" s="265"/>
      <c r="AE37" s="265"/>
      <c r="AF37" s="265"/>
      <c r="AG37" s="50">
        <v>0</v>
      </c>
      <c r="AH37" s="50">
        <v>0</v>
      </c>
      <c r="AI37" s="50">
        <v>0</v>
      </c>
      <c r="AJ37" s="71">
        <f t="shared" ref="AJ37:AJ68" si="13">T37</f>
        <v>0</v>
      </c>
      <c r="AK37" s="71">
        <f t="shared" ref="AK37:AK68" si="14">SUM(AC37:AJ37)</f>
        <v>2800</v>
      </c>
      <c r="AL37" s="50">
        <f t="shared" si="6"/>
        <v>0</v>
      </c>
      <c r="AM37" s="58">
        <f t="shared" si="0"/>
        <v>0</v>
      </c>
      <c r="AN37" s="58">
        <f t="shared" si="1"/>
        <v>0</v>
      </c>
      <c r="AO37" s="50"/>
      <c r="AP37" s="58">
        <v>20</v>
      </c>
      <c r="AQ37" s="73">
        <f t="shared" ref="AQ37:AQ68" si="15">SUM(AM37:AP37)</f>
        <v>20</v>
      </c>
      <c r="AR37" s="73">
        <f t="shared" ref="AR37:AR68" si="16">AK37-AQ37</f>
        <v>2780</v>
      </c>
      <c r="AS37" s="250"/>
      <c r="AT37" s="275" t="s">
        <v>543</v>
      </c>
      <c r="AU37" s="276"/>
    </row>
    <row r="38" s="224" customFormat="1" ht="30" customHeight="1" spans="1:47">
      <c r="A38" s="240">
        <f t="shared" si="11"/>
        <v>35</v>
      </c>
      <c r="B38" s="255" t="s">
        <v>544</v>
      </c>
      <c r="C38" s="242" t="s">
        <v>267</v>
      </c>
      <c r="D38" s="243" t="s">
        <v>496</v>
      </c>
      <c r="E38" s="244" t="s">
        <v>49</v>
      </c>
      <c r="F38" s="245">
        <v>31</v>
      </c>
      <c r="G38" s="246">
        <v>0</v>
      </c>
      <c r="H38" s="246">
        <v>0</v>
      </c>
      <c r="I38" s="246">
        <v>0</v>
      </c>
      <c r="J38" s="246">
        <v>0</v>
      </c>
      <c r="K38" s="246">
        <v>0</v>
      </c>
      <c r="L38" s="246">
        <v>0</v>
      </c>
      <c r="M38" s="246">
        <v>0</v>
      </c>
      <c r="N38" s="246">
        <v>0</v>
      </c>
      <c r="O38" s="251" t="s">
        <v>254</v>
      </c>
      <c r="P38" s="246">
        <v>0</v>
      </c>
      <c r="Q38" s="246">
        <v>0</v>
      </c>
      <c r="R38" s="246">
        <v>0</v>
      </c>
      <c r="S38" s="263"/>
      <c r="T38" s="263"/>
      <c r="U38" s="267">
        <v>2400</v>
      </c>
      <c r="V38" s="265">
        <v>1300</v>
      </c>
      <c r="W38" s="266">
        <v>300</v>
      </c>
      <c r="X38" s="266">
        <v>200</v>
      </c>
      <c r="Y38" s="266">
        <v>200</v>
      </c>
      <c r="Z38" s="266">
        <v>200</v>
      </c>
      <c r="AA38" s="266">
        <v>100</v>
      </c>
      <c r="AB38" s="266">
        <v>100</v>
      </c>
      <c r="AC38" s="266">
        <f t="shared" si="12"/>
        <v>2400</v>
      </c>
      <c r="AD38" s="266"/>
      <c r="AE38" s="266"/>
      <c r="AF38" s="266"/>
      <c r="AG38" s="71">
        <v>0</v>
      </c>
      <c r="AH38" s="71">
        <v>0</v>
      </c>
      <c r="AI38" s="71">
        <v>0</v>
      </c>
      <c r="AJ38" s="71">
        <f t="shared" si="13"/>
        <v>0</v>
      </c>
      <c r="AK38" s="71">
        <f t="shared" si="14"/>
        <v>2400</v>
      </c>
      <c r="AL38" s="71">
        <f t="shared" si="6"/>
        <v>0</v>
      </c>
      <c r="AM38" s="73">
        <f t="shared" si="0"/>
        <v>0</v>
      </c>
      <c r="AN38" s="73">
        <f t="shared" si="1"/>
        <v>0</v>
      </c>
      <c r="AO38" s="71"/>
      <c r="AP38" s="73"/>
      <c r="AQ38" s="73">
        <f t="shared" si="15"/>
        <v>0</v>
      </c>
      <c r="AR38" s="73">
        <f t="shared" si="16"/>
        <v>2400</v>
      </c>
      <c r="AS38" s="250"/>
      <c r="AT38" s="275" t="s">
        <v>254</v>
      </c>
      <c r="AU38" s="276"/>
    </row>
    <row r="39" s="224" customFormat="1" ht="30" customHeight="1" spans="1:47">
      <c r="A39" s="240">
        <f t="shared" si="11"/>
        <v>36</v>
      </c>
      <c r="B39" s="255" t="s">
        <v>545</v>
      </c>
      <c r="C39" s="242" t="s">
        <v>267</v>
      </c>
      <c r="D39" s="243" t="s">
        <v>546</v>
      </c>
      <c r="E39" s="244" t="s">
        <v>49</v>
      </c>
      <c r="F39" s="245">
        <v>31</v>
      </c>
      <c r="G39" s="246">
        <v>0</v>
      </c>
      <c r="H39" s="246">
        <v>0</v>
      </c>
      <c r="I39" s="246">
        <v>0</v>
      </c>
      <c r="J39" s="246">
        <v>0</v>
      </c>
      <c r="K39" s="246">
        <v>0</v>
      </c>
      <c r="L39" s="246">
        <v>0</v>
      </c>
      <c r="M39" s="246">
        <v>0</v>
      </c>
      <c r="N39" s="246">
        <v>0</v>
      </c>
      <c r="O39" s="251" t="s">
        <v>254</v>
      </c>
      <c r="P39" s="246">
        <v>0</v>
      </c>
      <c r="Q39" s="246">
        <v>0</v>
      </c>
      <c r="R39" s="246">
        <v>0</v>
      </c>
      <c r="S39" s="263"/>
      <c r="T39" s="263"/>
      <c r="U39" s="267">
        <v>2400</v>
      </c>
      <c r="V39" s="265">
        <v>1300</v>
      </c>
      <c r="W39" s="266">
        <v>300</v>
      </c>
      <c r="X39" s="266">
        <v>200</v>
      </c>
      <c r="Y39" s="266">
        <v>200</v>
      </c>
      <c r="Z39" s="266">
        <v>200</v>
      </c>
      <c r="AA39" s="266">
        <v>100</v>
      </c>
      <c r="AB39" s="266">
        <v>100</v>
      </c>
      <c r="AC39" s="266">
        <f t="shared" si="12"/>
        <v>2400</v>
      </c>
      <c r="AD39" s="266"/>
      <c r="AE39" s="266"/>
      <c r="AF39" s="266"/>
      <c r="AG39" s="71">
        <v>0</v>
      </c>
      <c r="AH39" s="71">
        <v>0</v>
      </c>
      <c r="AI39" s="71">
        <v>0</v>
      </c>
      <c r="AJ39" s="71">
        <f t="shared" si="13"/>
        <v>0</v>
      </c>
      <c r="AK39" s="71">
        <f t="shared" si="14"/>
        <v>2400</v>
      </c>
      <c r="AL39" s="71">
        <f t="shared" si="6"/>
        <v>0</v>
      </c>
      <c r="AM39" s="73">
        <f t="shared" si="0"/>
        <v>0</v>
      </c>
      <c r="AN39" s="73">
        <f t="shared" si="1"/>
        <v>0</v>
      </c>
      <c r="AO39" s="71"/>
      <c r="AP39" s="73"/>
      <c r="AQ39" s="73">
        <f t="shared" si="15"/>
        <v>0</v>
      </c>
      <c r="AR39" s="73">
        <f t="shared" si="16"/>
        <v>2400</v>
      </c>
      <c r="AS39" s="250"/>
      <c r="AT39" s="275" t="s">
        <v>254</v>
      </c>
      <c r="AU39" s="278" t="s">
        <v>177</v>
      </c>
    </row>
    <row r="40" s="224" customFormat="1" ht="30" customHeight="1" spans="1:47">
      <c r="A40" s="240">
        <f t="shared" si="11"/>
        <v>37</v>
      </c>
      <c r="B40" s="255" t="s">
        <v>547</v>
      </c>
      <c r="C40" s="242" t="s">
        <v>267</v>
      </c>
      <c r="D40" s="243" t="s">
        <v>301</v>
      </c>
      <c r="E40" s="244" t="s">
        <v>49</v>
      </c>
      <c r="F40" s="245">
        <v>31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6">
        <v>0</v>
      </c>
      <c r="N40" s="246">
        <v>0</v>
      </c>
      <c r="O40" s="251" t="s">
        <v>254</v>
      </c>
      <c r="P40" s="246">
        <v>0</v>
      </c>
      <c r="Q40" s="246">
        <v>0</v>
      </c>
      <c r="R40" s="246">
        <v>0</v>
      </c>
      <c r="S40" s="263"/>
      <c r="T40" s="263"/>
      <c r="U40" s="267">
        <v>2400</v>
      </c>
      <c r="V40" s="265">
        <v>1300</v>
      </c>
      <c r="W40" s="266">
        <v>300</v>
      </c>
      <c r="X40" s="266">
        <v>200</v>
      </c>
      <c r="Y40" s="266">
        <v>200</v>
      </c>
      <c r="Z40" s="266">
        <v>200</v>
      </c>
      <c r="AA40" s="266">
        <v>100</v>
      </c>
      <c r="AB40" s="266">
        <v>100</v>
      </c>
      <c r="AC40" s="266">
        <f t="shared" si="12"/>
        <v>2400</v>
      </c>
      <c r="AD40" s="266"/>
      <c r="AE40" s="266"/>
      <c r="AF40" s="266"/>
      <c r="AG40" s="71">
        <v>0</v>
      </c>
      <c r="AH40" s="71">
        <v>0</v>
      </c>
      <c r="AI40" s="71">
        <v>0</v>
      </c>
      <c r="AJ40" s="71">
        <f t="shared" si="13"/>
        <v>0</v>
      </c>
      <c r="AK40" s="71">
        <f t="shared" si="14"/>
        <v>2400</v>
      </c>
      <c r="AL40" s="71">
        <f t="shared" si="6"/>
        <v>0</v>
      </c>
      <c r="AM40" s="73">
        <f t="shared" si="0"/>
        <v>0</v>
      </c>
      <c r="AN40" s="73">
        <f t="shared" si="1"/>
        <v>0</v>
      </c>
      <c r="AO40" s="71"/>
      <c r="AP40" s="73"/>
      <c r="AQ40" s="73">
        <f t="shared" si="15"/>
        <v>0</v>
      </c>
      <c r="AR40" s="73">
        <f t="shared" si="16"/>
        <v>2400</v>
      </c>
      <c r="AS40" s="250"/>
      <c r="AT40" s="275" t="s">
        <v>254</v>
      </c>
      <c r="AU40" s="278"/>
    </row>
    <row r="41" s="224" customFormat="1" ht="30" customHeight="1" spans="1:47">
      <c r="A41" s="240">
        <f t="shared" si="11"/>
        <v>38</v>
      </c>
      <c r="B41" s="255" t="s">
        <v>548</v>
      </c>
      <c r="C41" s="242" t="s">
        <v>267</v>
      </c>
      <c r="D41" s="243" t="s">
        <v>549</v>
      </c>
      <c r="E41" s="244" t="s">
        <v>49</v>
      </c>
      <c r="F41" s="245">
        <v>31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51" t="s">
        <v>254</v>
      </c>
      <c r="P41" s="246">
        <v>0</v>
      </c>
      <c r="Q41" s="246">
        <v>0</v>
      </c>
      <c r="R41" s="246">
        <v>0</v>
      </c>
      <c r="S41" s="263"/>
      <c r="T41" s="263"/>
      <c r="U41" s="267">
        <v>2400</v>
      </c>
      <c r="V41" s="265">
        <v>1300</v>
      </c>
      <c r="W41" s="266">
        <v>300</v>
      </c>
      <c r="X41" s="266">
        <v>200</v>
      </c>
      <c r="Y41" s="266">
        <v>200</v>
      </c>
      <c r="Z41" s="266">
        <v>200</v>
      </c>
      <c r="AA41" s="266">
        <v>100</v>
      </c>
      <c r="AB41" s="266">
        <v>100</v>
      </c>
      <c r="AC41" s="266">
        <f t="shared" si="12"/>
        <v>2400</v>
      </c>
      <c r="AD41" s="266"/>
      <c r="AE41" s="266"/>
      <c r="AF41" s="266"/>
      <c r="AG41" s="71">
        <v>0</v>
      </c>
      <c r="AH41" s="71">
        <v>0</v>
      </c>
      <c r="AI41" s="71">
        <v>0</v>
      </c>
      <c r="AJ41" s="71">
        <f t="shared" si="13"/>
        <v>0</v>
      </c>
      <c r="AK41" s="71">
        <f t="shared" si="14"/>
        <v>2400</v>
      </c>
      <c r="AL41" s="71">
        <f t="shared" si="6"/>
        <v>0</v>
      </c>
      <c r="AM41" s="73">
        <f t="shared" si="0"/>
        <v>0</v>
      </c>
      <c r="AN41" s="73">
        <f t="shared" si="1"/>
        <v>0</v>
      </c>
      <c r="AO41" s="71"/>
      <c r="AP41" s="73"/>
      <c r="AQ41" s="73">
        <f t="shared" si="15"/>
        <v>0</v>
      </c>
      <c r="AR41" s="73">
        <f t="shared" si="16"/>
        <v>2400</v>
      </c>
      <c r="AS41" s="250"/>
      <c r="AT41" s="275" t="s">
        <v>254</v>
      </c>
      <c r="AU41" s="278"/>
    </row>
    <row r="42" s="224" customFormat="1" ht="30" customHeight="1" spans="1:47">
      <c r="A42" s="240">
        <f t="shared" si="11"/>
        <v>39</v>
      </c>
      <c r="B42" s="255" t="s">
        <v>550</v>
      </c>
      <c r="C42" s="242" t="s">
        <v>267</v>
      </c>
      <c r="D42" s="243" t="s">
        <v>551</v>
      </c>
      <c r="E42" s="244" t="s">
        <v>49</v>
      </c>
      <c r="F42" s="245">
        <v>31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6">
        <v>0</v>
      </c>
      <c r="N42" s="246">
        <v>0</v>
      </c>
      <c r="O42" s="251" t="s">
        <v>254</v>
      </c>
      <c r="P42" s="246">
        <v>0</v>
      </c>
      <c r="Q42" s="246">
        <v>0</v>
      </c>
      <c r="R42" s="246">
        <v>0</v>
      </c>
      <c r="S42" s="263"/>
      <c r="T42" s="263"/>
      <c r="U42" s="267">
        <v>2400</v>
      </c>
      <c r="V42" s="265">
        <v>1300</v>
      </c>
      <c r="W42" s="266">
        <v>300</v>
      </c>
      <c r="X42" s="266">
        <v>200</v>
      </c>
      <c r="Y42" s="266">
        <v>200</v>
      </c>
      <c r="Z42" s="266">
        <v>200</v>
      </c>
      <c r="AA42" s="266">
        <v>100</v>
      </c>
      <c r="AB42" s="266">
        <v>100</v>
      </c>
      <c r="AC42" s="266">
        <f t="shared" si="12"/>
        <v>2400</v>
      </c>
      <c r="AD42" s="266"/>
      <c r="AE42" s="266"/>
      <c r="AF42" s="266"/>
      <c r="AG42" s="71">
        <v>0</v>
      </c>
      <c r="AH42" s="71">
        <v>0</v>
      </c>
      <c r="AI42" s="71">
        <v>0</v>
      </c>
      <c r="AJ42" s="71">
        <f t="shared" si="13"/>
        <v>0</v>
      </c>
      <c r="AK42" s="71">
        <f t="shared" si="14"/>
        <v>2400</v>
      </c>
      <c r="AL42" s="71">
        <f t="shared" si="6"/>
        <v>0</v>
      </c>
      <c r="AM42" s="73">
        <f t="shared" si="0"/>
        <v>0</v>
      </c>
      <c r="AN42" s="73">
        <f t="shared" si="1"/>
        <v>0</v>
      </c>
      <c r="AO42" s="71"/>
      <c r="AP42" s="73"/>
      <c r="AQ42" s="73">
        <f t="shared" si="15"/>
        <v>0</v>
      </c>
      <c r="AR42" s="73">
        <f t="shared" si="16"/>
        <v>2400</v>
      </c>
      <c r="AS42" s="250"/>
      <c r="AT42" s="275" t="s">
        <v>254</v>
      </c>
      <c r="AU42" s="278"/>
    </row>
    <row r="43" s="224" customFormat="1" ht="30" customHeight="1" spans="1:47">
      <c r="A43" s="240">
        <f t="shared" si="11"/>
        <v>40</v>
      </c>
      <c r="B43" s="255" t="s">
        <v>552</v>
      </c>
      <c r="C43" s="242" t="s">
        <v>267</v>
      </c>
      <c r="D43" s="243" t="s">
        <v>553</v>
      </c>
      <c r="E43" s="244" t="s">
        <v>49</v>
      </c>
      <c r="F43" s="245">
        <v>31</v>
      </c>
      <c r="G43" s="246">
        <v>0</v>
      </c>
      <c r="H43" s="246">
        <v>0</v>
      </c>
      <c r="I43" s="246">
        <v>0</v>
      </c>
      <c r="J43" s="246">
        <v>0</v>
      </c>
      <c r="K43" s="246">
        <v>0</v>
      </c>
      <c r="L43" s="246">
        <v>0</v>
      </c>
      <c r="M43" s="246">
        <v>0</v>
      </c>
      <c r="N43" s="246">
        <v>0</v>
      </c>
      <c r="O43" s="251" t="s">
        <v>254</v>
      </c>
      <c r="P43" s="246">
        <v>0</v>
      </c>
      <c r="Q43" s="246">
        <v>0</v>
      </c>
      <c r="R43" s="246">
        <v>0</v>
      </c>
      <c r="S43" s="263"/>
      <c r="T43" s="263"/>
      <c r="U43" s="267">
        <v>2400</v>
      </c>
      <c r="V43" s="265">
        <v>1300</v>
      </c>
      <c r="W43" s="266">
        <v>300</v>
      </c>
      <c r="X43" s="266">
        <v>200</v>
      </c>
      <c r="Y43" s="266">
        <v>200</v>
      </c>
      <c r="Z43" s="266">
        <v>200</v>
      </c>
      <c r="AA43" s="266">
        <v>100</v>
      </c>
      <c r="AB43" s="266">
        <v>100</v>
      </c>
      <c r="AC43" s="266">
        <f t="shared" si="12"/>
        <v>2400</v>
      </c>
      <c r="AD43" s="266"/>
      <c r="AE43" s="266"/>
      <c r="AF43" s="266"/>
      <c r="AG43" s="71">
        <v>0</v>
      </c>
      <c r="AH43" s="71">
        <v>0</v>
      </c>
      <c r="AI43" s="71">
        <v>0</v>
      </c>
      <c r="AJ43" s="71">
        <f t="shared" si="13"/>
        <v>0</v>
      </c>
      <c r="AK43" s="71">
        <f t="shared" si="14"/>
        <v>2400</v>
      </c>
      <c r="AL43" s="71">
        <f t="shared" si="6"/>
        <v>0</v>
      </c>
      <c r="AM43" s="73">
        <f t="shared" si="0"/>
        <v>0</v>
      </c>
      <c r="AN43" s="73">
        <f t="shared" si="1"/>
        <v>0</v>
      </c>
      <c r="AO43" s="71"/>
      <c r="AP43" s="73"/>
      <c r="AQ43" s="73">
        <f t="shared" si="15"/>
        <v>0</v>
      </c>
      <c r="AR43" s="73">
        <f t="shared" si="16"/>
        <v>2400</v>
      </c>
      <c r="AS43" s="250"/>
      <c r="AT43" s="275" t="s">
        <v>254</v>
      </c>
      <c r="AU43" s="278"/>
    </row>
    <row r="44" s="224" customFormat="1" ht="30" customHeight="1" spans="1:47">
      <c r="A44" s="240">
        <f t="shared" si="11"/>
        <v>41</v>
      </c>
      <c r="B44" s="255" t="s">
        <v>554</v>
      </c>
      <c r="C44" s="242" t="s">
        <v>267</v>
      </c>
      <c r="D44" s="243" t="s">
        <v>555</v>
      </c>
      <c r="E44" s="244" t="s">
        <v>49</v>
      </c>
      <c r="F44" s="245">
        <v>31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51" t="s">
        <v>254</v>
      </c>
      <c r="P44" s="246">
        <v>0</v>
      </c>
      <c r="Q44" s="246">
        <v>0</v>
      </c>
      <c r="R44" s="246">
        <v>0</v>
      </c>
      <c r="S44" s="263"/>
      <c r="T44" s="263"/>
      <c r="U44" s="267">
        <v>2400</v>
      </c>
      <c r="V44" s="265">
        <v>1300</v>
      </c>
      <c r="W44" s="266">
        <v>300</v>
      </c>
      <c r="X44" s="266">
        <v>200</v>
      </c>
      <c r="Y44" s="266">
        <v>200</v>
      </c>
      <c r="Z44" s="266">
        <v>200</v>
      </c>
      <c r="AA44" s="266">
        <v>100</v>
      </c>
      <c r="AB44" s="266">
        <v>100</v>
      </c>
      <c r="AC44" s="266">
        <f t="shared" si="12"/>
        <v>2400</v>
      </c>
      <c r="AD44" s="266"/>
      <c r="AE44" s="266"/>
      <c r="AF44" s="266"/>
      <c r="AG44" s="71">
        <v>0</v>
      </c>
      <c r="AH44" s="71">
        <v>0</v>
      </c>
      <c r="AI44" s="71">
        <v>0</v>
      </c>
      <c r="AJ44" s="71">
        <f t="shared" si="13"/>
        <v>0</v>
      </c>
      <c r="AK44" s="71">
        <f t="shared" si="14"/>
        <v>2400</v>
      </c>
      <c r="AL44" s="71">
        <f t="shared" si="6"/>
        <v>0</v>
      </c>
      <c r="AM44" s="73">
        <f t="shared" si="0"/>
        <v>0</v>
      </c>
      <c r="AN44" s="73">
        <f t="shared" si="1"/>
        <v>0</v>
      </c>
      <c r="AO44" s="71"/>
      <c r="AP44" s="73"/>
      <c r="AQ44" s="73">
        <f t="shared" si="15"/>
        <v>0</v>
      </c>
      <c r="AR44" s="73">
        <f t="shared" si="16"/>
        <v>2400</v>
      </c>
      <c r="AS44" s="250"/>
      <c r="AT44" s="275" t="s">
        <v>254</v>
      </c>
      <c r="AU44" s="278"/>
    </row>
    <row r="45" s="224" customFormat="1" ht="30" customHeight="1" spans="1:47">
      <c r="A45" s="240">
        <f t="shared" ref="A45:A54" si="17">ROW()-3</f>
        <v>42</v>
      </c>
      <c r="B45" s="255" t="s">
        <v>556</v>
      </c>
      <c r="C45" s="242" t="s">
        <v>267</v>
      </c>
      <c r="D45" s="243" t="s">
        <v>557</v>
      </c>
      <c r="E45" s="244" t="s">
        <v>49</v>
      </c>
      <c r="F45" s="245">
        <v>31</v>
      </c>
      <c r="G45" s="246">
        <v>0</v>
      </c>
      <c r="H45" s="246">
        <v>0</v>
      </c>
      <c r="I45" s="246">
        <v>0</v>
      </c>
      <c r="J45" s="246">
        <v>0</v>
      </c>
      <c r="K45" s="246">
        <v>0</v>
      </c>
      <c r="L45" s="246">
        <v>0</v>
      </c>
      <c r="M45" s="246">
        <v>0</v>
      </c>
      <c r="N45" s="246">
        <v>0</v>
      </c>
      <c r="O45" s="251" t="s">
        <v>254</v>
      </c>
      <c r="P45" s="246">
        <v>0</v>
      </c>
      <c r="Q45" s="246">
        <v>0</v>
      </c>
      <c r="R45" s="246">
        <v>0</v>
      </c>
      <c r="S45" s="263"/>
      <c r="T45" s="263"/>
      <c r="U45" s="267">
        <v>2400</v>
      </c>
      <c r="V45" s="265">
        <v>1300</v>
      </c>
      <c r="W45" s="266">
        <v>300</v>
      </c>
      <c r="X45" s="266">
        <v>200</v>
      </c>
      <c r="Y45" s="266">
        <v>200</v>
      </c>
      <c r="Z45" s="266">
        <v>200</v>
      </c>
      <c r="AA45" s="266">
        <v>100</v>
      </c>
      <c r="AB45" s="266">
        <v>100</v>
      </c>
      <c r="AC45" s="266">
        <f t="shared" si="12"/>
        <v>2400</v>
      </c>
      <c r="AD45" s="266"/>
      <c r="AE45" s="266"/>
      <c r="AF45" s="266"/>
      <c r="AG45" s="71">
        <v>0</v>
      </c>
      <c r="AH45" s="71">
        <v>0</v>
      </c>
      <c r="AI45" s="71">
        <v>0</v>
      </c>
      <c r="AJ45" s="71">
        <f t="shared" si="13"/>
        <v>0</v>
      </c>
      <c r="AK45" s="71">
        <f t="shared" si="14"/>
        <v>2400</v>
      </c>
      <c r="AL45" s="71">
        <f t="shared" si="6"/>
        <v>0</v>
      </c>
      <c r="AM45" s="73">
        <f t="shared" si="0"/>
        <v>0</v>
      </c>
      <c r="AN45" s="73">
        <f t="shared" si="1"/>
        <v>0</v>
      </c>
      <c r="AO45" s="71"/>
      <c r="AP45" s="73"/>
      <c r="AQ45" s="73">
        <f t="shared" si="15"/>
        <v>0</v>
      </c>
      <c r="AR45" s="73">
        <f t="shared" si="16"/>
        <v>2400</v>
      </c>
      <c r="AS45" s="250"/>
      <c r="AT45" s="275" t="s">
        <v>254</v>
      </c>
      <c r="AU45" s="278"/>
    </row>
    <row r="46" s="224" customFormat="1" ht="44" customHeight="1" spans="1:47">
      <c r="A46" s="240">
        <f t="shared" si="17"/>
        <v>43</v>
      </c>
      <c r="B46" s="255" t="s">
        <v>558</v>
      </c>
      <c r="C46" s="242" t="s">
        <v>267</v>
      </c>
      <c r="D46" s="243" t="s">
        <v>559</v>
      </c>
      <c r="E46" s="244" t="s">
        <v>49</v>
      </c>
      <c r="F46" s="245">
        <v>31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6">
        <v>0</v>
      </c>
      <c r="N46" s="246">
        <v>0</v>
      </c>
      <c r="O46" s="261" t="s">
        <v>560</v>
      </c>
      <c r="P46" s="246">
        <v>0</v>
      </c>
      <c r="Q46" s="246">
        <v>0</v>
      </c>
      <c r="R46" s="246">
        <v>0</v>
      </c>
      <c r="S46" s="263"/>
      <c r="T46" s="263"/>
      <c r="U46" s="267">
        <v>2800</v>
      </c>
      <c r="V46" s="265">
        <v>1700</v>
      </c>
      <c r="W46" s="266">
        <v>300</v>
      </c>
      <c r="X46" s="266">
        <v>200</v>
      </c>
      <c r="Y46" s="266">
        <v>200</v>
      </c>
      <c r="Z46" s="266">
        <v>200</v>
      </c>
      <c r="AA46" s="266">
        <v>100</v>
      </c>
      <c r="AB46" s="266">
        <v>100</v>
      </c>
      <c r="AC46" s="266">
        <f t="shared" si="12"/>
        <v>2800</v>
      </c>
      <c r="AD46" s="266">
        <v>200</v>
      </c>
      <c r="AE46" s="266"/>
      <c r="AF46" s="266"/>
      <c r="AG46" s="71">
        <v>0</v>
      </c>
      <c r="AH46" s="71">
        <v>0</v>
      </c>
      <c r="AI46" s="71">
        <v>0</v>
      </c>
      <c r="AJ46" s="71">
        <f t="shared" si="13"/>
        <v>0</v>
      </c>
      <c r="AK46" s="71">
        <f t="shared" si="14"/>
        <v>3000</v>
      </c>
      <c r="AL46" s="71">
        <f t="shared" si="6"/>
        <v>0</v>
      </c>
      <c r="AM46" s="73">
        <f t="shared" si="0"/>
        <v>0</v>
      </c>
      <c r="AN46" s="73">
        <f t="shared" si="1"/>
        <v>0</v>
      </c>
      <c r="AO46" s="71"/>
      <c r="AP46" s="73"/>
      <c r="AQ46" s="73">
        <f t="shared" si="15"/>
        <v>0</v>
      </c>
      <c r="AR46" s="73">
        <f t="shared" si="16"/>
        <v>3000</v>
      </c>
      <c r="AS46" s="250"/>
      <c r="AT46" s="275" t="s">
        <v>560</v>
      </c>
      <c r="AU46" s="278"/>
    </row>
    <row r="47" s="224" customFormat="1" ht="30" customHeight="1" spans="1:47">
      <c r="A47" s="240">
        <f t="shared" si="17"/>
        <v>44</v>
      </c>
      <c r="B47" s="257" t="s">
        <v>561</v>
      </c>
      <c r="C47" s="244" t="s">
        <v>273</v>
      </c>
      <c r="D47" s="247" t="s">
        <v>265</v>
      </c>
      <c r="E47" s="258" t="s">
        <v>107</v>
      </c>
      <c r="F47" s="248">
        <v>31</v>
      </c>
      <c r="G47" s="249">
        <v>0</v>
      </c>
      <c r="H47" s="249">
        <v>0</v>
      </c>
      <c r="I47" s="249">
        <v>0</v>
      </c>
      <c r="J47" s="249">
        <v>0</v>
      </c>
      <c r="K47" s="249">
        <v>0</v>
      </c>
      <c r="L47" s="249">
        <v>0</v>
      </c>
      <c r="M47" s="249">
        <v>0</v>
      </c>
      <c r="N47" s="249">
        <v>0</v>
      </c>
      <c r="O47" s="261" t="s">
        <v>562</v>
      </c>
      <c r="P47" s="246">
        <v>0</v>
      </c>
      <c r="Q47" s="246">
        <v>0</v>
      </c>
      <c r="R47" s="246">
        <v>0</v>
      </c>
      <c r="S47" s="246"/>
      <c r="T47" s="246"/>
      <c r="U47" s="270">
        <v>1700</v>
      </c>
      <c r="V47" s="265">
        <v>1000</v>
      </c>
      <c r="W47" s="266">
        <v>100</v>
      </c>
      <c r="X47" s="266">
        <v>100</v>
      </c>
      <c r="Y47" s="266">
        <v>100</v>
      </c>
      <c r="Z47" s="266">
        <v>100</v>
      </c>
      <c r="AA47" s="266">
        <v>100</v>
      </c>
      <c r="AB47" s="266">
        <v>200</v>
      </c>
      <c r="AC47" s="266">
        <f t="shared" si="12"/>
        <v>1700</v>
      </c>
      <c r="AD47" s="266"/>
      <c r="AE47" s="266"/>
      <c r="AF47" s="266"/>
      <c r="AG47" s="71">
        <v>0</v>
      </c>
      <c r="AH47" s="71">
        <v>0</v>
      </c>
      <c r="AI47" s="71">
        <v>0</v>
      </c>
      <c r="AJ47" s="71">
        <f t="shared" si="13"/>
        <v>0</v>
      </c>
      <c r="AK47" s="71">
        <f t="shared" si="14"/>
        <v>1700</v>
      </c>
      <c r="AL47" s="71">
        <f t="shared" si="6"/>
        <v>0</v>
      </c>
      <c r="AM47" s="73">
        <f t="shared" si="0"/>
        <v>0</v>
      </c>
      <c r="AN47" s="73">
        <f t="shared" si="1"/>
        <v>0</v>
      </c>
      <c r="AO47" s="71"/>
      <c r="AP47" s="73"/>
      <c r="AQ47" s="73">
        <f t="shared" si="15"/>
        <v>0</v>
      </c>
      <c r="AR47" s="73">
        <f t="shared" si="16"/>
        <v>1700</v>
      </c>
      <c r="AS47" s="250"/>
      <c r="AT47" s="275" t="s">
        <v>562</v>
      </c>
      <c r="AU47" s="278"/>
    </row>
    <row r="48" s="224" customFormat="1" ht="30" customHeight="1" spans="1:47">
      <c r="A48" s="240">
        <f t="shared" si="17"/>
        <v>45</v>
      </c>
      <c r="B48" s="257" t="s">
        <v>563</v>
      </c>
      <c r="C48" s="244" t="s">
        <v>273</v>
      </c>
      <c r="D48" s="247" t="s">
        <v>489</v>
      </c>
      <c r="E48" s="258" t="s">
        <v>107</v>
      </c>
      <c r="F48" s="250">
        <v>26</v>
      </c>
      <c r="G48" s="249">
        <v>0</v>
      </c>
      <c r="H48" s="249">
        <v>0</v>
      </c>
      <c r="I48" s="249">
        <v>0</v>
      </c>
      <c r="J48" s="249">
        <v>0</v>
      </c>
      <c r="K48" s="249">
        <v>0</v>
      </c>
      <c r="L48" s="249">
        <v>0</v>
      </c>
      <c r="M48" s="249">
        <v>0</v>
      </c>
      <c r="N48" s="249">
        <v>0</v>
      </c>
      <c r="O48" s="261" t="s">
        <v>564</v>
      </c>
      <c r="P48" s="246">
        <v>0</v>
      </c>
      <c r="Q48" s="246">
        <v>0</v>
      </c>
      <c r="R48" s="246">
        <v>0</v>
      </c>
      <c r="S48" s="246"/>
      <c r="T48" s="246"/>
      <c r="U48" s="270">
        <v>1700</v>
      </c>
      <c r="V48" s="265">
        <f>1700/31*26</f>
        <v>1425.8064516129</v>
      </c>
      <c r="W48" s="266">
        <v>0</v>
      </c>
      <c r="X48" s="266">
        <v>0</v>
      </c>
      <c r="Y48" s="266">
        <v>0</v>
      </c>
      <c r="Z48" s="266">
        <v>0</v>
      </c>
      <c r="AA48" s="266">
        <v>0</v>
      </c>
      <c r="AB48" s="266">
        <v>0</v>
      </c>
      <c r="AC48" s="266">
        <f t="shared" si="12"/>
        <v>1425.8064516129</v>
      </c>
      <c r="AD48" s="266"/>
      <c r="AE48" s="266"/>
      <c r="AF48" s="266"/>
      <c r="AG48" s="71">
        <v>0</v>
      </c>
      <c r="AH48" s="71">
        <v>0</v>
      </c>
      <c r="AI48" s="71">
        <v>0</v>
      </c>
      <c r="AJ48" s="71">
        <f t="shared" si="13"/>
        <v>0</v>
      </c>
      <c r="AK48" s="71">
        <f t="shared" si="14"/>
        <v>1425.8064516129</v>
      </c>
      <c r="AL48" s="71">
        <f t="shared" si="6"/>
        <v>0</v>
      </c>
      <c r="AM48" s="73">
        <f t="shared" si="0"/>
        <v>0</v>
      </c>
      <c r="AN48" s="73">
        <f t="shared" si="1"/>
        <v>0</v>
      </c>
      <c r="AO48" s="71"/>
      <c r="AP48" s="73"/>
      <c r="AQ48" s="73">
        <f t="shared" si="15"/>
        <v>0</v>
      </c>
      <c r="AR48" s="73">
        <f t="shared" si="16"/>
        <v>1425.8064516129</v>
      </c>
      <c r="AS48" s="250"/>
      <c r="AT48" s="275" t="s">
        <v>564</v>
      </c>
      <c r="AU48" s="278"/>
    </row>
    <row r="49" s="224" customFormat="1" ht="30" customHeight="1" spans="1:47">
      <c r="A49" s="240">
        <f t="shared" si="17"/>
        <v>46</v>
      </c>
      <c r="B49" s="255" t="s">
        <v>565</v>
      </c>
      <c r="C49" s="244" t="s">
        <v>267</v>
      </c>
      <c r="D49" s="247" t="s">
        <v>480</v>
      </c>
      <c r="E49" s="244" t="s">
        <v>49</v>
      </c>
      <c r="F49" s="248">
        <v>31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62" t="s">
        <v>254</v>
      </c>
      <c r="P49" s="246">
        <v>0</v>
      </c>
      <c r="Q49" s="246">
        <v>0</v>
      </c>
      <c r="R49" s="246">
        <v>0</v>
      </c>
      <c r="S49" s="263"/>
      <c r="T49" s="263"/>
      <c r="U49" s="267">
        <v>2300</v>
      </c>
      <c r="V49" s="265">
        <v>1500</v>
      </c>
      <c r="W49" s="266">
        <v>200</v>
      </c>
      <c r="X49" s="266">
        <v>100</v>
      </c>
      <c r="Y49" s="266">
        <v>100</v>
      </c>
      <c r="Z49" s="266">
        <v>100</v>
      </c>
      <c r="AA49" s="266">
        <v>100</v>
      </c>
      <c r="AB49" s="266">
        <v>200</v>
      </c>
      <c r="AC49" s="266">
        <f t="shared" si="12"/>
        <v>2300</v>
      </c>
      <c r="AD49" s="266"/>
      <c r="AE49" s="266"/>
      <c r="AF49" s="266"/>
      <c r="AG49" s="71">
        <v>0</v>
      </c>
      <c r="AH49" s="71">
        <v>0</v>
      </c>
      <c r="AI49" s="71">
        <v>0</v>
      </c>
      <c r="AJ49" s="71">
        <f t="shared" si="13"/>
        <v>0</v>
      </c>
      <c r="AK49" s="71">
        <f t="shared" si="14"/>
        <v>2300</v>
      </c>
      <c r="AL49" s="71">
        <f t="shared" si="6"/>
        <v>0</v>
      </c>
      <c r="AM49" s="73">
        <f t="shared" si="0"/>
        <v>0</v>
      </c>
      <c r="AN49" s="73">
        <f t="shared" si="1"/>
        <v>0</v>
      </c>
      <c r="AO49" s="71"/>
      <c r="AP49" s="73"/>
      <c r="AQ49" s="73">
        <f t="shared" si="15"/>
        <v>0</v>
      </c>
      <c r="AR49" s="73">
        <f t="shared" si="16"/>
        <v>2300</v>
      </c>
      <c r="AS49" s="244"/>
      <c r="AT49" s="275" t="s">
        <v>254</v>
      </c>
      <c r="AU49" s="278"/>
    </row>
    <row r="50" s="224" customFormat="1" ht="30" customHeight="1" spans="1:47">
      <c r="A50" s="240">
        <f t="shared" si="17"/>
        <v>47</v>
      </c>
      <c r="B50" s="257" t="s">
        <v>566</v>
      </c>
      <c r="C50" s="244" t="s">
        <v>273</v>
      </c>
      <c r="D50" s="247" t="s">
        <v>489</v>
      </c>
      <c r="E50" s="258" t="s">
        <v>107</v>
      </c>
      <c r="F50" s="250">
        <v>31</v>
      </c>
      <c r="G50" s="249">
        <v>0</v>
      </c>
      <c r="H50" s="249">
        <v>0</v>
      </c>
      <c r="I50" s="249">
        <v>0</v>
      </c>
      <c r="J50" s="249">
        <v>0</v>
      </c>
      <c r="K50" s="249">
        <v>0</v>
      </c>
      <c r="L50" s="249">
        <v>0</v>
      </c>
      <c r="M50" s="249">
        <v>0</v>
      </c>
      <c r="N50" s="249">
        <v>0</v>
      </c>
      <c r="O50" s="261" t="s">
        <v>562</v>
      </c>
      <c r="P50" s="246">
        <v>0</v>
      </c>
      <c r="Q50" s="246">
        <v>0</v>
      </c>
      <c r="R50" s="246">
        <v>0</v>
      </c>
      <c r="S50" s="263"/>
      <c r="T50" s="263"/>
      <c r="U50" s="267">
        <v>1700</v>
      </c>
      <c r="V50" s="265">
        <v>900</v>
      </c>
      <c r="W50" s="266">
        <v>200</v>
      </c>
      <c r="X50" s="266">
        <v>100</v>
      </c>
      <c r="Y50" s="266">
        <v>100</v>
      </c>
      <c r="Z50" s="266">
        <v>100</v>
      </c>
      <c r="AA50" s="266">
        <v>100</v>
      </c>
      <c r="AB50" s="266">
        <v>200</v>
      </c>
      <c r="AC50" s="266">
        <f t="shared" si="12"/>
        <v>1700</v>
      </c>
      <c r="AD50" s="266"/>
      <c r="AE50" s="266"/>
      <c r="AF50" s="266"/>
      <c r="AG50" s="71">
        <v>0</v>
      </c>
      <c r="AH50" s="71">
        <v>0</v>
      </c>
      <c r="AI50" s="71">
        <v>0</v>
      </c>
      <c r="AJ50" s="71">
        <f t="shared" si="13"/>
        <v>0</v>
      </c>
      <c r="AK50" s="71">
        <f t="shared" si="14"/>
        <v>1700</v>
      </c>
      <c r="AL50" s="71">
        <f t="shared" si="6"/>
        <v>0</v>
      </c>
      <c r="AM50" s="73">
        <f t="shared" si="0"/>
        <v>0</v>
      </c>
      <c r="AN50" s="73">
        <f t="shared" si="1"/>
        <v>0</v>
      </c>
      <c r="AO50" s="71"/>
      <c r="AP50" s="73"/>
      <c r="AQ50" s="73">
        <f t="shared" si="15"/>
        <v>0</v>
      </c>
      <c r="AR50" s="73">
        <f t="shared" si="16"/>
        <v>1700</v>
      </c>
      <c r="AS50" s="250"/>
      <c r="AT50" s="275" t="s">
        <v>562</v>
      </c>
      <c r="AU50" s="278"/>
    </row>
    <row r="51" s="224" customFormat="1" ht="30" customHeight="1" spans="1:47">
      <c r="A51" s="240">
        <f t="shared" si="17"/>
        <v>48</v>
      </c>
      <c r="B51" s="255" t="s">
        <v>567</v>
      </c>
      <c r="C51" s="259" t="s">
        <v>273</v>
      </c>
      <c r="D51" s="247" t="s">
        <v>480</v>
      </c>
      <c r="E51" s="244" t="s">
        <v>49</v>
      </c>
      <c r="F51" s="250">
        <v>31</v>
      </c>
      <c r="G51" s="249">
        <v>0</v>
      </c>
      <c r="H51" s="249">
        <v>0</v>
      </c>
      <c r="I51" s="249">
        <v>0</v>
      </c>
      <c r="J51" s="249">
        <v>0</v>
      </c>
      <c r="K51" s="249">
        <v>0</v>
      </c>
      <c r="L51" s="249">
        <v>0</v>
      </c>
      <c r="M51" s="249">
        <v>0</v>
      </c>
      <c r="N51" s="249">
        <v>0</v>
      </c>
      <c r="O51" s="251" t="s">
        <v>254</v>
      </c>
      <c r="P51" s="246">
        <v>0</v>
      </c>
      <c r="Q51" s="246">
        <v>0</v>
      </c>
      <c r="R51" s="246">
        <v>0</v>
      </c>
      <c r="S51" s="263"/>
      <c r="T51" s="263"/>
      <c r="U51" s="267">
        <v>1700</v>
      </c>
      <c r="V51" s="265">
        <v>1000</v>
      </c>
      <c r="W51" s="266">
        <v>100</v>
      </c>
      <c r="X51" s="266">
        <v>100</v>
      </c>
      <c r="Y51" s="266">
        <v>100</v>
      </c>
      <c r="Z51" s="266">
        <v>100</v>
      </c>
      <c r="AA51" s="266">
        <v>100</v>
      </c>
      <c r="AB51" s="266">
        <v>200</v>
      </c>
      <c r="AC51" s="266">
        <f t="shared" si="12"/>
        <v>1700</v>
      </c>
      <c r="AD51" s="266"/>
      <c r="AE51" s="266"/>
      <c r="AF51" s="266"/>
      <c r="AG51" s="71">
        <v>0</v>
      </c>
      <c r="AH51" s="71">
        <v>0</v>
      </c>
      <c r="AI51" s="71">
        <v>0</v>
      </c>
      <c r="AJ51" s="71">
        <f t="shared" si="13"/>
        <v>0</v>
      </c>
      <c r="AK51" s="71">
        <f t="shared" si="14"/>
        <v>1700</v>
      </c>
      <c r="AL51" s="71">
        <f t="shared" si="6"/>
        <v>0</v>
      </c>
      <c r="AM51" s="73">
        <f t="shared" si="0"/>
        <v>0</v>
      </c>
      <c r="AN51" s="73">
        <f t="shared" si="1"/>
        <v>0</v>
      </c>
      <c r="AO51" s="71"/>
      <c r="AP51" s="73"/>
      <c r="AQ51" s="73">
        <f t="shared" si="15"/>
        <v>0</v>
      </c>
      <c r="AR51" s="73">
        <f t="shared" si="16"/>
        <v>1700</v>
      </c>
      <c r="AS51" s="250"/>
      <c r="AT51" s="275" t="s">
        <v>254</v>
      </c>
      <c r="AU51" s="278"/>
    </row>
    <row r="52" s="224" customFormat="1" ht="30" customHeight="1" spans="1:47">
      <c r="A52" s="240">
        <f t="shared" si="17"/>
        <v>49</v>
      </c>
      <c r="B52" s="255" t="s">
        <v>568</v>
      </c>
      <c r="C52" s="259" t="s">
        <v>267</v>
      </c>
      <c r="D52" s="247" t="s">
        <v>480</v>
      </c>
      <c r="E52" s="244" t="s">
        <v>49</v>
      </c>
      <c r="F52" s="245">
        <v>31</v>
      </c>
      <c r="G52" s="249">
        <v>0</v>
      </c>
      <c r="H52" s="249">
        <v>0</v>
      </c>
      <c r="I52" s="249">
        <v>0</v>
      </c>
      <c r="J52" s="249">
        <v>0</v>
      </c>
      <c r="K52" s="249">
        <v>0</v>
      </c>
      <c r="L52" s="249">
        <v>0</v>
      </c>
      <c r="M52" s="249">
        <v>0</v>
      </c>
      <c r="N52" s="249">
        <v>0</v>
      </c>
      <c r="O52" s="261" t="s">
        <v>560</v>
      </c>
      <c r="P52" s="261">
        <v>0</v>
      </c>
      <c r="Q52" s="261">
        <v>0</v>
      </c>
      <c r="R52" s="261">
        <v>0</v>
      </c>
      <c r="S52" s="271"/>
      <c r="T52" s="271"/>
      <c r="U52" s="264">
        <v>2300</v>
      </c>
      <c r="V52" s="265">
        <v>1200</v>
      </c>
      <c r="W52" s="266">
        <v>500</v>
      </c>
      <c r="X52" s="266">
        <v>200</v>
      </c>
      <c r="Y52" s="266">
        <v>200</v>
      </c>
      <c r="Z52" s="266">
        <v>200</v>
      </c>
      <c r="AA52" s="266">
        <v>100</v>
      </c>
      <c r="AB52" s="266">
        <v>100</v>
      </c>
      <c r="AC52" s="266">
        <f t="shared" si="12"/>
        <v>2500</v>
      </c>
      <c r="AD52" s="266">
        <v>200</v>
      </c>
      <c r="AE52" s="266"/>
      <c r="AF52" s="266"/>
      <c r="AG52" s="71">
        <v>0</v>
      </c>
      <c r="AH52" s="71">
        <v>0</v>
      </c>
      <c r="AI52" s="71">
        <v>0</v>
      </c>
      <c r="AJ52" s="71">
        <f t="shared" si="13"/>
        <v>0</v>
      </c>
      <c r="AK52" s="71">
        <f t="shared" si="14"/>
        <v>2700</v>
      </c>
      <c r="AL52" s="71">
        <f t="shared" si="6"/>
        <v>0</v>
      </c>
      <c r="AM52" s="73">
        <f t="shared" si="0"/>
        <v>0</v>
      </c>
      <c r="AN52" s="73">
        <f t="shared" si="1"/>
        <v>0</v>
      </c>
      <c r="AO52" s="71"/>
      <c r="AP52" s="73"/>
      <c r="AQ52" s="73">
        <f t="shared" si="15"/>
        <v>0</v>
      </c>
      <c r="AR52" s="73">
        <f t="shared" si="16"/>
        <v>2700</v>
      </c>
      <c r="AS52" s="244"/>
      <c r="AT52" s="275" t="s">
        <v>560</v>
      </c>
      <c r="AU52" s="278"/>
    </row>
    <row r="53" s="224" customFormat="1" ht="30" customHeight="1" spans="1:47">
      <c r="A53" s="240">
        <f t="shared" si="17"/>
        <v>50</v>
      </c>
      <c r="B53" s="255" t="s">
        <v>569</v>
      </c>
      <c r="C53" s="259" t="s">
        <v>267</v>
      </c>
      <c r="D53" s="247" t="s">
        <v>265</v>
      </c>
      <c r="E53" s="244" t="s">
        <v>49</v>
      </c>
      <c r="F53" s="250">
        <v>31</v>
      </c>
      <c r="G53" s="249">
        <v>0</v>
      </c>
      <c r="H53" s="249">
        <v>0</v>
      </c>
      <c r="I53" s="249">
        <v>0</v>
      </c>
      <c r="J53" s="249">
        <v>0</v>
      </c>
      <c r="K53" s="249">
        <v>0</v>
      </c>
      <c r="L53" s="249">
        <v>0</v>
      </c>
      <c r="M53" s="249">
        <v>0</v>
      </c>
      <c r="N53" s="249">
        <v>0</v>
      </c>
      <c r="O53" s="251" t="s">
        <v>254</v>
      </c>
      <c r="P53" s="246">
        <v>0</v>
      </c>
      <c r="Q53" s="246">
        <v>0</v>
      </c>
      <c r="R53" s="246">
        <v>0</v>
      </c>
      <c r="S53" s="263"/>
      <c r="T53" s="263"/>
      <c r="U53" s="267">
        <v>2300</v>
      </c>
      <c r="V53" s="265">
        <v>1200</v>
      </c>
      <c r="W53" s="266">
        <v>300</v>
      </c>
      <c r="X53" s="266">
        <v>200</v>
      </c>
      <c r="Y53" s="266">
        <v>200</v>
      </c>
      <c r="Z53" s="266">
        <v>200</v>
      </c>
      <c r="AA53" s="266">
        <v>100</v>
      </c>
      <c r="AB53" s="266">
        <v>100</v>
      </c>
      <c r="AC53" s="266">
        <f t="shared" si="12"/>
        <v>2300</v>
      </c>
      <c r="AD53" s="266"/>
      <c r="AE53" s="266"/>
      <c r="AF53" s="266"/>
      <c r="AG53" s="71">
        <v>0</v>
      </c>
      <c r="AH53" s="71">
        <v>0</v>
      </c>
      <c r="AI53" s="71">
        <v>0</v>
      </c>
      <c r="AJ53" s="71">
        <f t="shared" si="13"/>
        <v>0</v>
      </c>
      <c r="AK53" s="71">
        <f t="shared" si="14"/>
        <v>2300</v>
      </c>
      <c r="AL53" s="71">
        <f t="shared" si="6"/>
        <v>0</v>
      </c>
      <c r="AM53" s="73">
        <f t="shared" si="0"/>
        <v>0</v>
      </c>
      <c r="AN53" s="73">
        <f t="shared" si="1"/>
        <v>0</v>
      </c>
      <c r="AO53" s="71"/>
      <c r="AP53" s="73"/>
      <c r="AQ53" s="73">
        <f t="shared" si="15"/>
        <v>0</v>
      </c>
      <c r="AR53" s="73">
        <f t="shared" si="16"/>
        <v>2300</v>
      </c>
      <c r="AS53" s="244"/>
      <c r="AT53" s="275" t="s">
        <v>254</v>
      </c>
      <c r="AU53" s="278"/>
    </row>
    <row r="54" s="224" customFormat="1" ht="58" customHeight="1" spans="1:47">
      <c r="A54" s="240">
        <f t="shared" si="17"/>
        <v>51</v>
      </c>
      <c r="B54" s="255" t="s">
        <v>570</v>
      </c>
      <c r="C54" s="252" t="s">
        <v>267</v>
      </c>
      <c r="D54" s="243" t="s">
        <v>480</v>
      </c>
      <c r="E54" s="244" t="s">
        <v>49</v>
      </c>
      <c r="F54" s="245">
        <v>31</v>
      </c>
      <c r="G54" s="246">
        <v>0</v>
      </c>
      <c r="H54" s="246">
        <v>0</v>
      </c>
      <c r="I54" s="246">
        <v>0</v>
      </c>
      <c r="J54" s="246">
        <v>0</v>
      </c>
      <c r="K54" s="246">
        <v>0</v>
      </c>
      <c r="L54" s="246">
        <v>0</v>
      </c>
      <c r="M54" s="246">
        <v>0</v>
      </c>
      <c r="N54" s="246">
        <v>0</v>
      </c>
      <c r="O54" s="251" t="s">
        <v>571</v>
      </c>
      <c r="P54" s="246">
        <v>0</v>
      </c>
      <c r="Q54" s="246">
        <v>0</v>
      </c>
      <c r="R54" s="246">
        <v>0</v>
      </c>
      <c r="S54" s="263"/>
      <c r="T54" s="263"/>
      <c r="U54" s="267" t="s">
        <v>572</v>
      </c>
      <c r="V54" s="265">
        <v>1200</v>
      </c>
      <c r="W54" s="266">
        <v>500</v>
      </c>
      <c r="X54" s="266">
        <v>400</v>
      </c>
      <c r="Y54" s="266">
        <v>200</v>
      </c>
      <c r="Z54" s="266">
        <v>200</v>
      </c>
      <c r="AA54" s="266">
        <v>200</v>
      </c>
      <c r="AB54" s="266">
        <v>100</v>
      </c>
      <c r="AC54" s="266">
        <f t="shared" si="12"/>
        <v>2800</v>
      </c>
      <c r="AD54" s="266">
        <v>250</v>
      </c>
      <c r="AE54" s="266"/>
      <c r="AF54" s="266"/>
      <c r="AG54" s="71">
        <v>0</v>
      </c>
      <c r="AH54" s="71">
        <v>0</v>
      </c>
      <c r="AI54" s="71">
        <v>0</v>
      </c>
      <c r="AJ54" s="71">
        <f t="shared" si="13"/>
        <v>0</v>
      </c>
      <c r="AK54" s="71">
        <f t="shared" si="14"/>
        <v>3050</v>
      </c>
      <c r="AL54" s="71">
        <f t="shared" si="6"/>
        <v>0</v>
      </c>
      <c r="AM54" s="73">
        <f t="shared" si="0"/>
        <v>0</v>
      </c>
      <c r="AN54" s="73">
        <f t="shared" si="1"/>
        <v>0</v>
      </c>
      <c r="AO54" s="71"/>
      <c r="AP54" s="73"/>
      <c r="AQ54" s="73">
        <f t="shared" si="15"/>
        <v>0</v>
      </c>
      <c r="AR54" s="73">
        <f t="shared" si="16"/>
        <v>3050</v>
      </c>
      <c r="AS54" s="250"/>
      <c r="AT54" s="275" t="s">
        <v>573</v>
      </c>
      <c r="AU54" s="278"/>
    </row>
    <row r="55" s="224" customFormat="1" ht="30" customHeight="1" spans="1:47">
      <c r="A55" s="240">
        <f t="shared" ref="A55:A64" si="18">ROW()-3</f>
        <v>52</v>
      </c>
      <c r="B55" s="255" t="s">
        <v>574</v>
      </c>
      <c r="C55" s="244" t="s">
        <v>575</v>
      </c>
      <c r="D55" s="247" t="s">
        <v>265</v>
      </c>
      <c r="E55" s="244" t="s">
        <v>49</v>
      </c>
      <c r="F55" s="248">
        <v>31</v>
      </c>
      <c r="G55" s="249">
        <v>0</v>
      </c>
      <c r="H55" s="249">
        <v>0</v>
      </c>
      <c r="I55" s="249">
        <v>0</v>
      </c>
      <c r="J55" s="249">
        <v>0</v>
      </c>
      <c r="K55" s="249">
        <v>0</v>
      </c>
      <c r="L55" s="249">
        <v>0</v>
      </c>
      <c r="M55" s="249">
        <v>0</v>
      </c>
      <c r="N55" s="249">
        <v>0</v>
      </c>
      <c r="O55" s="251" t="s">
        <v>254</v>
      </c>
      <c r="P55" s="246">
        <v>0</v>
      </c>
      <c r="Q55" s="246">
        <v>0</v>
      </c>
      <c r="R55" s="246">
        <v>0</v>
      </c>
      <c r="S55" s="263"/>
      <c r="T55" s="263"/>
      <c r="U55" s="267">
        <v>2500</v>
      </c>
      <c r="V55" s="265">
        <v>1200</v>
      </c>
      <c r="W55" s="266">
        <v>500</v>
      </c>
      <c r="X55" s="266">
        <v>200</v>
      </c>
      <c r="Y55" s="266">
        <v>200</v>
      </c>
      <c r="Z55" s="266">
        <v>200</v>
      </c>
      <c r="AA55" s="266">
        <v>100</v>
      </c>
      <c r="AB55" s="266">
        <v>100</v>
      </c>
      <c r="AC55" s="266">
        <f t="shared" si="12"/>
        <v>2500</v>
      </c>
      <c r="AD55" s="266"/>
      <c r="AE55" s="266"/>
      <c r="AF55" s="266"/>
      <c r="AG55" s="71">
        <v>0</v>
      </c>
      <c r="AH55" s="71">
        <v>0</v>
      </c>
      <c r="AI55" s="71">
        <v>0</v>
      </c>
      <c r="AJ55" s="71">
        <f t="shared" si="13"/>
        <v>0</v>
      </c>
      <c r="AK55" s="71">
        <f t="shared" si="14"/>
        <v>2500</v>
      </c>
      <c r="AL55" s="71">
        <f t="shared" si="6"/>
        <v>0</v>
      </c>
      <c r="AM55" s="73">
        <f t="shared" si="0"/>
        <v>0</v>
      </c>
      <c r="AN55" s="73">
        <f t="shared" si="1"/>
        <v>0</v>
      </c>
      <c r="AO55" s="71"/>
      <c r="AP55" s="73"/>
      <c r="AQ55" s="73">
        <f t="shared" si="15"/>
        <v>0</v>
      </c>
      <c r="AR55" s="73">
        <f t="shared" si="16"/>
        <v>2500</v>
      </c>
      <c r="AS55" s="250"/>
      <c r="AT55" s="275" t="s">
        <v>254</v>
      </c>
      <c r="AU55" s="278"/>
    </row>
    <row r="56" s="224" customFormat="1" ht="30" customHeight="1" spans="1:47">
      <c r="A56" s="240">
        <f t="shared" si="18"/>
        <v>53</v>
      </c>
      <c r="B56" s="255" t="s">
        <v>576</v>
      </c>
      <c r="C56" s="244" t="s">
        <v>575</v>
      </c>
      <c r="D56" s="247" t="s">
        <v>480</v>
      </c>
      <c r="E56" s="244" t="s">
        <v>49</v>
      </c>
      <c r="F56" s="250">
        <v>31</v>
      </c>
      <c r="G56" s="249">
        <v>0</v>
      </c>
      <c r="H56" s="249">
        <v>0</v>
      </c>
      <c r="I56" s="249">
        <v>0</v>
      </c>
      <c r="J56" s="249">
        <v>0</v>
      </c>
      <c r="K56" s="249">
        <v>0</v>
      </c>
      <c r="L56" s="249">
        <v>0</v>
      </c>
      <c r="M56" s="249">
        <v>0</v>
      </c>
      <c r="N56" s="249">
        <v>0</v>
      </c>
      <c r="O56" s="251" t="s">
        <v>254</v>
      </c>
      <c r="P56" s="246">
        <v>0</v>
      </c>
      <c r="Q56" s="246">
        <v>0</v>
      </c>
      <c r="R56" s="246">
        <v>0</v>
      </c>
      <c r="S56" s="263"/>
      <c r="T56" s="263"/>
      <c r="U56" s="267">
        <v>2500</v>
      </c>
      <c r="V56" s="265">
        <v>1200</v>
      </c>
      <c r="W56" s="266">
        <v>500</v>
      </c>
      <c r="X56" s="266">
        <v>200</v>
      </c>
      <c r="Y56" s="266">
        <v>200</v>
      </c>
      <c r="Z56" s="266">
        <v>200</v>
      </c>
      <c r="AA56" s="266">
        <v>100</v>
      </c>
      <c r="AB56" s="266">
        <v>100</v>
      </c>
      <c r="AC56" s="266">
        <f t="shared" si="12"/>
        <v>2500</v>
      </c>
      <c r="AD56" s="266"/>
      <c r="AE56" s="266"/>
      <c r="AF56" s="266"/>
      <c r="AG56" s="71">
        <v>0</v>
      </c>
      <c r="AH56" s="71">
        <v>0</v>
      </c>
      <c r="AI56" s="71">
        <v>0</v>
      </c>
      <c r="AJ56" s="71">
        <f t="shared" si="13"/>
        <v>0</v>
      </c>
      <c r="AK56" s="71">
        <f t="shared" si="14"/>
        <v>2500</v>
      </c>
      <c r="AL56" s="71">
        <f t="shared" si="6"/>
        <v>0</v>
      </c>
      <c r="AM56" s="73">
        <f t="shared" si="0"/>
        <v>0</v>
      </c>
      <c r="AN56" s="73">
        <f t="shared" si="1"/>
        <v>0</v>
      </c>
      <c r="AO56" s="71"/>
      <c r="AP56" s="73"/>
      <c r="AQ56" s="73">
        <f t="shared" si="15"/>
        <v>0</v>
      </c>
      <c r="AR56" s="73">
        <f t="shared" si="16"/>
        <v>2500</v>
      </c>
      <c r="AS56" s="250"/>
      <c r="AT56" s="275" t="s">
        <v>254</v>
      </c>
      <c r="AU56" s="278"/>
    </row>
    <row r="57" s="224" customFormat="1" ht="30" customHeight="1" spans="1:47">
      <c r="A57" s="240">
        <f t="shared" si="18"/>
        <v>54</v>
      </c>
      <c r="B57" s="255" t="s">
        <v>304</v>
      </c>
      <c r="C57" s="244" t="s">
        <v>267</v>
      </c>
      <c r="D57" s="247" t="s">
        <v>413</v>
      </c>
      <c r="E57" s="244" t="s">
        <v>49</v>
      </c>
      <c r="F57" s="248">
        <v>31</v>
      </c>
      <c r="G57" s="249">
        <v>0</v>
      </c>
      <c r="H57" s="249">
        <v>0</v>
      </c>
      <c r="I57" s="249">
        <v>0</v>
      </c>
      <c r="J57" s="249">
        <v>0</v>
      </c>
      <c r="K57" s="249">
        <v>0</v>
      </c>
      <c r="L57" s="249">
        <v>0</v>
      </c>
      <c r="M57" s="249">
        <v>0</v>
      </c>
      <c r="N57" s="249">
        <v>0</v>
      </c>
      <c r="O57" s="251" t="s">
        <v>254</v>
      </c>
      <c r="P57" s="246">
        <v>0</v>
      </c>
      <c r="Q57" s="246">
        <v>0</v>
      </c>
      <c r="R57" s="246">
        <v>0</v>
      </c>
      <c r="S57" s="263"/>
      <c r="T57" s="263"/>
      <c r="U57" s="267">
        <v>2300</v>
      </c>
      <c r="V57" s="265">
        <v>1000</v>
      </c>
      <c r="W57" s="266">
        <v>500</v>
      </c>
      <c r="X57" s="266">
        <v>300</v>
      </c>
      <c r="Y57" s="266">
        <v>200</v>
      </c>
      <c r="Z57" s="266">
        <v>100</v>
      </c>
      <c r="AA57" s="266">
        <v>100</v>
      </c>
      <c r="AB57" s="266">
        <v>100</v>
      </c>
      <c r="AC57" s="266">
        <f t="shared" si="12"/>
        <v>2300</v>
      </c>
      <c r="AD57" s="266"/>
      <c r="AE57" s="266"/>
      <c r="AF57" s="266"/>
      <c r="AG57" s="71">
        <v>0</v>
      </c>
      <c r="AH57" s="71">
        <v>0</v>
      </c>
      <c r="AI57" s="71">
        <v>0</v>
      </c>
      <c r="AJ57" s="71">
        <f t="shared" si="13"/>
        <v>0</v>
      </c>
      <c r="AK57" s="71">
        <f t="shared" si="14"/>
        <v>2300</v>
      </c>
      <c r="AL57" s="71">
        <f t="shared" si="6"/>
        <v>0</v>
      </c>
      <c r="AM57" s="73">
        <f t="shared" si="0"/>
        <v>0</v>
      </c>
      <c r="AN57" s="73">
        <f t="shared" si="1"/>
        <v>0</v>
      </c>
      <c r="AO57" s="71"/>
      <c r="AP57" s="73"/>
      <c r="AQ57" s="73">
        <f t="shared" si="15"/>
        <v>0</v>
      </c>
      <c r="AR57" s="73">
        <f t="shared" si="16"/>
        <v>2300</v>
      </c>
      <c r="AS57" s="244"/>
      <c r="AT57" s="275" t="s">
        <v>254</v>
      </c>
      <c r="AU57" s="278"/>
    </row>
    <row r="58" s="224" customFormat="1" ht="30" customHeight="1" spans="1:47">
      <c r="A58" s="240">
        <f t="shared" si="18"/>
        <v>55</v>
      </c>
      <c r="B58" s="255" t="s">
        <v>577</v>
      </c>
      <c r="C58" s="244" t="s">
        <v>273</v>
      </c>
      <c r="D58" s="247" t="s">
        <v>265</v>
      </c>
      <c r="E58" s="244" t="s">
        <v>49</v>
      </c>
      <c r="F58" s="250">
        <v>31</v>
      </c>
      <c r="G58" s="249">
        <v>0</v>
      </c>
      <c r="H58" s="249">
        <v>0</v>
      </c>
      <c r="I58" s="249">
        <v>0</v>
      </c>
      <c r="J58" s="249">
        <v>0</v>
      </c>
      <c r="K58" s="249">
        <v>0</v>
      </c>
      <c r="L58" s="249">
        <v>0</v>
      </c>
      <c r="M58" s="249">
        <v>0</v>
      </c>
      <c r="N58" s="249">
        <v>0</v>
      </c>
      <c r="O58" s="251" t="s">
        <v>578</v>
      </c>
      <c r="P58" s="246">
        <v>0</v>
      </c>
      <c r="Q58" s="246">
        <v>0</v>
      </c>
      <c r="R58" s="246">
        <v>0</v>
      </c>
      <c r="S58" s="263"/>
      <c r="T58" s="263"/>
      <c r="U58" s="267">
        <v>1700</v>
      </c>
      <c r="V58" s="265">
        <v>1000</v>
      </c>
      <c r="W58" s="266">
        <v>200</v>
      </c>
      <c r="X58" s="266">
        <v>100</v>
      </c>
      <c r="Y58" s="266">
        <v>100</v>
      </c>
      <c r="Z58" s="266">
        <v>100</v>
      </c>
      <c r="AA58" s="266">
        <v>100</v>
      </c>
      <c r="AB58" s="266">
        <v>100</v>
      </c>
      <c r="AC58" s="266">
        <f t="shared" si="12"/>
        <v>1700</v>
      </c>
      <c r="AD58" s="266">
        <v>200</v>
      </c>
      <c r="AE58" s="266"/>
      <c r="AF58" s="266"/>
      <c r="AG58" s="71">
        <v>0</v>
      </c>
      <c r="AH58" s="71">
        <v>0</v>
      </c>
      <c r="AI58" s="71">
        <v>0</v>
      </c>
      <c r="AJ58" s="71">
        <f t="shared" si="13"/>
        <v>0</v>
      </c>
      <c r="AK58" s="71">
        <f t="shared" si="14"/>
        <v>1900</v>
      </c>
      <c r="AL58" s="71">
        <f t="shared" si="6"/>
        <v>0</v>
      </c>
      <c r="AM58" s="73">
        <f t="shared" si="0"/>
        <v>0</v>
      </c>
      <c r="AN58" s="73">
        <f t="shared" si="1"/>
        <v>0</v>
      </c>
      <c r="AO58" s="71"/>
      <c r="AP58" s="73"/>
      <c r="AQ58" s="73">
        <f t="shared" si="15"/>
        <v>0</v>
      </c>
      <c r="AR58" s="73">
        <f t="shared" si="16"/>
        <v>1900</v>
      </c>
      <c r="AS58" s="244"/>
      <c r="AT58" s="275" t="s">
        <v>578</v>
      </c>
      <c r="AU58" s="278"/>
    </row>
    <row r="59" s="224" customFormat="1" ht="30" customHeight="1" spans="1:47">
      <c r="A59" s="240">
        <f t="shared" si="18"/>
        <v>56</v>
      </c>
      <c r="B59" s="255" t="s">
        <v>579</v>
      </c>
      <c r="C59" s="244" t="s">
        <v>273</v>
      </c>
      <c r="D59" s="247" t="s">
        <v>480</v>
      </c>
      <c r="E59" s="244" t="s">
        <v>49</v>
      </c>
      <c r="F59" s="248">
        <v>31</v>
      </c>
      <c r="G59" s="249">
        <v>0</v>
      </c>
      <c r="H59" s="249">
        <v>0</v>
      </c>
      <c r="I59" s="249">
        <v>0</v>
      </c>
      <c r="J59" s="249">
        <v>0</v>
      </c>
      <c r="K59" s="249">
        <v>0</v>
      </c>
      <c r="L59" s="249">
        <v>0</v>
      </c>
      <c r="M59" s="249">
        <v>0</v>
      </c>
      <c r="N59" s="249">
        <v>0</v>
      </c>
      <c r="O59" s="251" t="s">
        <v>254</v>
      </c>
      <c r="P59" s="246">
        <v>0</v>
      </c>
      <c r="Q59" s="246">
        <v>0</v>
      </c>
      <c r="R59" s="246">
        <v>0</v>
      </c>
      <c r="S59" s="263"/>
      <c r="T59" s="263"/>
      <c r="U59" s="267">
        <v>1700</v>
      </c>
      <c r="V59" s="265">
        <v>1000</v>
      </c>
      <c r="W59" s="266">
        <v>200</v>
      </c>
      <c r="X59" s="266">
        <v>100</v>
      </c>
      <c r="Y59" s="266">
        <v>100</v>
      </c>
      <c r="Z59" s="266">
        <v>100</v>
      </c>
      <c r="AA59" s="266">
        <v>100</v>
      </c>
      <c r="AB59" s="266">
        <v>100</v>
      </c>
      <c r="AC59" s="266">
        <f t="shared" si="12"/>
        <v>1700</v>
      </c>
      <c r="AD59" s="266"/>
      <c r="AE59" s="266"/>
      <c r="AF59" s="266"/>
      <c r="AG59" s="71">
        <v>0</v>
      </c>
      <c r="AH59" s="71">
        <v>0</v>
      </c>
      <c r="AI59" s="71">
        <v>0</v>
      </c>
      <c r="AJ59" s="71">
        <f t="shared" si="13"/>
        <v>0</v>
      </c>
      <c r="AK59" s="71">
        <f t="shared" si="14"/>
        <v>1700</v>
      </c>
      <c r="AL59" s="71">
        <f t="shared" si="6"/>
        <v>0</v>
      </c>
      <c r="AM59" s="73">
        <f t="shared" si="0"/>
        <v>0</v>
      </c>
      <c r="AN59" s="73">
        <f t="shared" si="1"/>
        <v>0</v>
      </c>
      <c r="AO59" s="71"/>
      <c r="AP59" s="73"/>
      <c r="AQ59" s="73">
        <f t="shared" si="15"/>
        <v>0</v>
      </c>
      <c r="AR59" s="73">
        <f t="shared" si="16"/>
        <v>1700</v>
      </c>
      <c r="AS59" s="244"/>
      <c r="AT59" s="275" t="s">
        <v>254</v>
      </c>
      <c r="AU59" s="278"/>
    </row>
    <row r="60" s="224" customFormat="1" ht="30" customHeight="1" spans="1:47">
      <c r="A60" s="240">
        <f t="shared" si="18"/>
        <v>57</v>
      </c>
      <c r="B60" s="255" t="s">
        <v>580</v>
      </c>
      <c r="C60" s="244" t="s">
        <v>273</v>
      </c>
      <c r="D60" s="247" t="s">
        <v>265</v>
      </c>
      <c r="E60" s="244" t="s">
        <v>49</v>
      </c>
      <c r="F60" s="250">
        <v>31</v>
      </c>
      <c r="G60" s="249">
        <v>0</v>
      </c>
      <c r="H60" s="249">
        <v>0</v>
      </c>
      <c r="I60" s="249">
        <v>0</v>
      </c>
      <c r="J60" s="249">
        <v>0</v>
      </c>
      <c r="K60" s="249">
        <v>0</v>
      </c>
      <c r="L60" s="249">
        <v>0</v>
      </c>
      <c r="M60" s="249">
        <v>0</v>
      </c>
      <c r="N60" s="249">
        <v>0</v>
      </c>
      <c r="O60" s="251" t="s">
        <v>254</v>
      </c>
      <c r="P60" s="246">
        <v>0</v>
      </c>
      <c r="Q60" s="246">
        <v>0</v>
      </c>
      <c r="R60" s="246">
        <v>0</v>
      </c>
      <c r="S60" s="263"/>
      <c r="T60" s="263"/>
      <c r="U60" s="267">
        <v>1700</v>
      </c>
      <c r="V60" s="265">
        <v>1000</v>
      </c>
      <c r="W60" s="266">
        <v>200</v>
      </c>
      <c r="X60" s="266">
        <v>100</v>
      </c>
      <c r="Y60" s="266">
        <v>100</v>
      </c>
      <c r="Z60" s="266">
        <v>100</v>
      </c>
      <c r="AA60" s="266">
        <v>100</v>
      </c>
      <c r="AB60" s="266">
        <v>100</v>
      </c>
      <c r="AC60" s="266">
        <f t="shared" si="12"/>
        <v>1700</v>
      </c>
      <c r="AD60" s="266"/>
      <c r="AE60" s="266"/>
      <c r="AF60" s="266"/>
      <c r="AG60" s="71">
        <v>0</v>
      </c>
      <c r="AH60" s="71">
        <v>0</v>
      </c>
      <c r="AI60" s="71">
        <v>0</v>
      </c>
      <c r="AJ60" s="71">
        <f t="shared" si="13"/>
        <v>0</v>
      </c>
      <c r="AK60" s="71">
        <f t="shared" si="14"/>
        <v>1700</v>
      </c>
      <c r="AL60" s="71">
        <f t="shared" si="6"/>
        <v>0</v>
      </c>
      <c r="AM60" s="73">
        <f t="shared" si="0"/>
        <v>0</v>
      </c>
      <c r="AN60" s="73">
        <f t="shared" si="1"/>
        <v>0</v>
      </c>
      <c r="AO60" s="71"/>
      <c r="AP60" s="73"/>
      <c r="AQ60" s="73">
        <f t="shared" si="15"/>
        <v>0</v>
      </c>
      <c r="AR60" s="73">
        <f t="shared" si="16"/>
        <v>1700</v>
      </c>
      <c r="AS60" s="244"/>
      <c r="AT60" s="275" t="s">
        <v>254</v>
      </c>
      <c r="AU60" s="278"/>
    </row>
    <row r="61" s="224" customFormat="1" ht="30" customHeight="1" spans="1:47">
      <c r="A61" s="240">
        <f t="shared" si="18"/>
        <v>58</v>
      </c>
      <c r="B61" s="255" t="s">
        <v>581</v>
      </c>
      <c r="C61" s="244" t="s">
        <v>273</v>
      </c>
      <c r="D61" s="247" t="s">
        <v>480</v>
      </c>
      <c r="E61" s="244" t="s">
        <v>49</v>
      </c>
      <c r="F61" s="248">
        <v>31</v>
      </c>
      <c r="G61" s="249">
        <v>0</v>
      </c>
      <c r="H61" s="249">
        <v>0</v>
      </c>
      <c r="I61" s="249">
        <v>0</v>
      </c>
      <c r="J61" s="249">
        <v>0</v>
      </c>
      <c r="K61" s="249">
        <v>0</v>
      </c>
      <c r="L61" s="249">
        <v>0</v>
      </c>
      <c r="M61" s="249">
        <v>0</v>
      </c>
      <c r="N61" s="249">
        <v>0</v>
      </c>
      <c r="O61" s="251" t="s">
        <v>254</v>
      </c>
      <c r="P61" s="246">
        <v>0</v>
      </c>
      <c r="Q61" s="246">
        <v>0</v>
      </c>
      <c r="R61" s="246">
        <v>0</v>
      </c>
      <c r="S61" s="263"/>
      <c r="T61" s="263"/>
      <c r="U61" s="267">
        <v>1700</v>
      </c>
      <c r="V61" s="265">
        <v>1000</v>
      </c>
      <c r="W61" s="266">
        <v>200</v>
      </c>
      <c r="X61" s="266">
        <v>100</v>
      </c>
      <c r="Y61" s="266">
        <v>100</v>
      </c>
      <c r="Z61" s="266">
        <v>100</v>
      </c>
      <c r="AA61" s="266">
        <v>100</v>
      </c>
      <c r="AB61" s="266">
        <v>100</v>
      </c>
      <c r="AC61" s="266">
        <f t="shared" si="12"/>
        <v>1700</v>
      </c>
      <c r="AD61" s="266"/>
      <c r="AE61" s="266"/>
      <c r="AF61" s="266"/>
      <c r="AG61" s="71">
        <v>0</v>
      </c>
      <c r="AH61" s="71">
        <v>0</v>
      </c>
      <c r="AI61" s="71">
        <v>0</v>
      </c>
      <c r="AJ61" s="71">
        <f t="shared" si="13"/>
        <v>0</v>
      </c>
      <c r="AK61" s="71">
        <f t="shared" si="14"/>
        <v>1700</v>
      </c>
      <c r="AL61" s="71">
        <f t="shared" si="6"/>
        <v>0</v>
      </c>
      <c r="AM61" s="73">
        <f t="shared" si="0"/>
        <v>0</v>
      </c>
      <c r="AN61" s="73">
        <f t="shared" si="1"/>
        <v>0</v>
      </c>
      <c r="AO61" s="71"/>
      <c r="AP61" s="73"/>
      <c r="AQ61" s="73">
        <f t="shared" si="15"/>
        <v>0</v>
      </c>
      <c r="AR61" s="73">
        <f t="shared" si="16"/>
        <v>1700</v>
      </c>
      <c r="AS61" s="244"/>
      <c r="AT61" s="275" t="s">
        <v>254</v>
      </c>
      <c r="AU61" s="278"/>
    </row>
    <row r="62" s="224" customFormat="1" ht="30" customHeight="1" spans="1:47">
      <c r="A62" s="240">
        <f t="shared" si="18"/>
        <v>59</v>
      </c>
      <c r="B62" s="255" t="s">
        <v>582</v>
      </c>
      <c r="C62" s="244" t="s">
        <v>273</v>
      </c>
      <c r="D62" s="247" t="s">
        <v>480</v>
      </c>
      <c r="E62" s="244" t="s">
        <v>49</v>
      </c>
      <c r="F62" s="250">
        <v>31</v>
      </c>
      <c r="G62" s="249">
        <v>0</v>
      </c>
      <c r="H62" s="249">
        <v>0</v>
      </c>
      <c r="I62" s="249">
        <v>0</v>
      </c>
      <c r="J62" s="249">
        <v>0</v>
      </c>
      <c r="K62" s="249">
        <v>0</v>
      </c>
      <c r="L62" s="249">
        <v>0</v>
      </c>
      <c r="M62" s="249">
        <v>0</v>
      </c>
      <c r="N62" s="249">
        <v>0</v>
      </c>
      <c r="O62" s="251" t="s">
        <v>254</v>
      </c>
      <c r="P62" s="246">
        <v>0</v>
      </c>
      <c r="Q62" s="246">
        <v>0</v>
      </c>
      <c r="R62" s="246">
        <v>0</v>
      </c>
      <c r="S62" s="263"/>
      <c r="T62" s="263"/>
      <c r="U62" s="267">
        <v>1700</v>
      </c>
      <c r="V62" s="265">
        <v>1000</v>
      </c>
      <c r="W62" s="266">
        <v>200</v>
      </c>
      <c r="X62" s="266">
        <v>100</v>
      </c>
      <c r="Y62" s="266">
        <v>100</v>
      </c>
      <c r="Z62" s="266">
        <v>100</v>
      </c>
      <c r="AA62" s="266">
        <v>100</v>
      </c>
      <c r="AB62" s="266">
        <v>100</v>
      </c>
      <c r="AC62" s="266">
        <f t="shared" si="12"/>
        <v>1700</v>
      </c>
      <c r="AD62" s="266"/>
      <c r="AE62" s="266"/>
      <c r="AF62" s="266"/>
      <c r="AG62" s="71">
        <v>0</v>
      </c>
      <c r="AH62" s="71">
        <v>0</v>
      </c>
      <c r="AI62" s="71">
        <v>0</v>
      </c>
      <c r="AJ62" s="71">
        <f t="shared" si="13"/>
        <v>0</v>
      </c>
      <c r="AK62" s="71">
        <f t="shared" si="14"/>
        <v>1700</v>
      </c>
      <c r="AL62" s="71">
        <f t="shared" si="6"/>
        <v>0</v>
      </c>
      <c r="AM62" s="73">
        <f t="shared" si="0"/>
        <v>0</v>
      </c>
      <c r="AN62" s="73">
        <f t="shared" si="1"/>
        <v>0</v>
      </c>
      <c r="AO62" s="71"/>
      <c r="AP62" s="73"/>
      <c r="AQ62" s="73">
        <f t="shared" si="15"/>
        <v>0</v>
      </c>
      <c r="AR62" s="73">
        <f t="shared" si="16"/>
        <v>1700</v>
      </c>
      <c r="AS62" s="244"/>
      <c r="AT62" s="275" t="s">
        <v>254</v>
      </c>
      <c r="AU62" s="278"/>
    </row>
    <row r="63" s="224" customFormat="1" ht="30" customHeight="1" spans="1:47">
      <c r="A63" s="240">
        <f t="shared" si="18"/>
        <v>60</v>
      </c>
      <c r="B63" s="255" t="s">
        <v>583</v>
      </c>
      <c r="C63" s="244" t="s">
        <v>273</v>
      </c>
      <c r="D63" s="247" t="s">
        <v>486</v>
      </c>
      <c r="E63" s="244" t="s">
        <v>49</v>
      </c>
      <c r="F63" s="248">
        <v>31</v>
      </c>
      <c r="G63" s="249">
        <v>0</v>
      </c>
      <c r="H63" s="249">
        <v>0</v>
      </c>
      <c r="I63" s="249">
        <v>0</v>
      </c>
      <c r="J63" s="249">
        <v>0</v>
      </c>
      <c r="K63" s="249">
        <v>0</v>
      </c>
      <c r="L63" s="249">
        <v>0</v>
      </c>
      <c r="M63" s="249">
        <v>0</v>
      </c>
      <c r="N63" s="249">
        <v>0</v>
      </c>
      <c r="O63" s="251" t="s">
        <v>254</v>
      </c>
      <c r="P63" s="246">
        <v>0</v>
      </c>
      <c r="Q63" s="246">
        <v>0</v>
      </c>
      <c r="R63" s="246">
        <v>0</v>
      </c>
      <c r="S63" s="263"/>
      <c r="T63" s="263"/>
      <c r="U63" s="267">
        <v>1700</v>
      </c>
      <c r="V63" s="265">
        <v>1000</v>
      </c>
      <c r="W63" s="266">
        <v>200</v>
      </c>
      <c r="X63" s="266">
        <v>100</v>
      </c>
      <c r="Y63" s="266">
        <v>100</v>
      </c>
      <c r="Z63" s="266">
        <v>100</v>
      </c>
      <c r="AA63" s="266">
        <v>100</v>
      </c>
      <c r="AB63" s="266">
        <v>100</v>
      </c>
      <c r="AC63" s="266">
        <f t="shared" si="12"/>
        <v>1700</v>
      </c>
      <c r="AD63" s="266"/>
      <c r="AE63" s="266"/>
      <c r="AF63" s="266"/>
      <c r="AG63" s="71">
        <v>0</v>
      </c>
      <c r="AH63" s="71">
        <v>0</v>
      </c>
      <c r="AI63" s="71">
        <v>0</v>
      </c>
      <c r="AJ63" s="71">
        <f t="shared" si="13"/>
        <v>0</v>
      </c>
      <c r="AK63" s="71">
        <f t="shared" si="14"/>
        <v>1700</v>
      </c>
      <c r="AL63" s="71">
        <f t="shared" si="6"/>
        <v>0</v>
      </c>
      <c r="AM63" s="73">
        <f t="shared" si="0"/>
        <v>0</v>
      </c>
      <c r="AN63" s="73">
        <f t="shared" si="1"/>
        <v>0</v>
      </c>
      <c r="AO63" s="71"/>
      <c r="AP63" s="73"/>
      <c r="AQ63" s="73">
        <f t="shared" si="15"/>
        <v>0</v>
      </c>
      <c r="AR63" s="73">
        <f t="shared" si="16"/>
        <v>1700</v>
      </c>
      <c r="AS63" s="244"/>
      <c r="AT63" s="275" t="s">
        <v>254</v>
      </c>
      <c r="AU63" s="278"/>
    </row>
    <row r="64" s="224" customFormat="1" ht="30" customHeight="1" spans="1:47">
      <c r="A64" s="240">
        <f t="shared" si="18"/>
        <v>61</v>
      </c>
      <c r="B64" s="255" t="s">
        <v>584</v>
      </c>
      <c r="C64" s="244" t="s">
        <v>273</v>
      </c>
      <c r="D64" s="247" t="s">
        <v>480</v>
      </c>
      <c r="E64" s="244" t="s">
        <v>49</v>
      </c>
      <c r="F64" s="250">
        <v>31</v>
      </c>
      <c r="G64" s="249">
        <v>0</v>
      </c>
      <c r="H64" s="249">
        <v>0</v>
      </c>
      <c r="I64" s="249">
        <v>0</v>
      </c>
      <c r="J64" s="249">
        <v>0</v>
      </c>
      <c r="K64" s="249">
        <v>0</v>
      </c>
      <c r="L64" s="249">
        <v>0</v>
      </c>
      <c r="M64" s="249">
        <v>0</v>
      </c>
      <c r="N64" s="249">
        <v>0</v>
      </c>
      <c r="O64" s="251" t="s">
        <v>254</v>
      </c>
      <c r="P64" s="246">
        <v>0</v>
      </c>
      <c r="Q64" s="246">
        <v>0</v>
      </c>
      <c r="R64" s="246">
        <v>0</v>
      </c>
      <c r="S64" s="263"/>
      <c r="T64" s="263"/>
      <c r="U64" s="267">
        <v>1700</v>
      </c>
      <c r="V64" s="265">
        <v>1000</v>
      </c>
      <c r="W64" s="266">
        <v>200</v>
      </c>
      <c r="X64" s="266">
        <v>100</v>
      </c>
      <c r="Y64" s="266">
        <v>100</v>
      </c>
      <c r="Z64" s="266">
        <v>100</v>
      </c>
      <c r="AA64" s="266">
        <v>100</v>
      </c>
      <c r="AB64" s="266">
        <v>100</v>
      </c>
      <c r="AC64" s="266">
        <f t="shared" si="12"/>
        <v>1700</v>
      </c>
      <c r="AD64" s="266"/>
      <c r="AE64" s="266"/>
      <c r="AF64" s="266"/>
      <c r="AG64" s="71">
        <v>0</v>
      </c>
      <c r="AH64" s="71">
        <v>0</v>
      </c>
      <c r="AI64" s="71">
        <v>0</v>
      </c>
      <c r="AJ64" s="71">
        <f t="shared" si="13"/>
        <v>0</v>
      </c>
      <c r="AK64" s="71">
        <f t="shared" si="14"/>
        <v>1700</v>
      </c>
      <c r="AL64" s="71">
        <f t="shared" si="6"/>
        <v>0</v>
      </c>
      <c r="AM64" s="73">
        <f t="shared" si="0"/>
        <v>0</v>
      </c>
      <c r="AN64" s="73">
        <f t="shared" si="1"/>
        <v>0</v>
      </c>
      <c r="AO64" s="71"/>
      <c r="AP64" s="73"/>
      <c r="AQ64" s="73">
        <f t="shared" si="15"/>
        <v>0</v>
      </c>
      <c r="AR64" s="73">
        <f t="shared" si="16"/>
        <v>1700</v>
      </c>
      <c r="AS64" s="244"/>
      <c r="AT64" s="275" t="s">
        <v>254</v>
      </c>
      <c r="AU64" s="278"/>
    </row>
    <row r="65" s="224" customFormat="1" ht="30" customHeight="1" spans="1:47">
      <c r="A65" s="240">
        <f t="shared" ref="A65:A74" si="19">ROW()-3</f>
        <v>62</v>
      </c>
      <c r="B65" s="255" t="s">
        <v>585</v>
      </c>
      <c r="C65" s="244" t="s">
        <v>530</v>
      </c>
      <c r="D65" s="247" t="s">
        <v>265</v>
      </c>
      <c r="E65" s="244" t="s">
        <v>49</v>
      </c>
      <c r="F65" s="248">
        <v>31</v>
      </c>
      <c r="G65" s="249">
        <v>0</v>
      </c>
      <c r="H65" s="249">
        <v>0</v>
      </c>
      <c r="I65" s="249">
        <v>0</v>
      </c>
      <c r="J65" s="249">
        <v>0</v>
      </c>
      <c r="K65" s="249">
        <v>0</v>
      </c>
      <c r="L65" s="249">
        <v>0</v>
      </c>
      <c r="M65" s="249">
        <v>0</v>
      </c>
      <c r="N65" s="249">
        <v>0</v>
      </c>
      <c r="O65" s="251" t="s">
        <v>254</v>
      </c>
      <c r="P65" s="246">
        <v>0</v>
      </c>
      <c r="Q65" s="246">
        <v>0</v>
      </c>
      <c r="R65" s="246">
        <v>0</v>
      </c>
      <c r="S65" s="263">
        <v>0</v>
      </c>
      <c r="T65" s="263"/>
      <c r="U65" s="267">
        <v>2000</v>
      </c>
      <c r="V65" s="265">
        <v>900</v>
      </c>
      <c r="W65" s="266">
        <v>300</v>
      </c>
      <c r="X65" s="266">
        <v>200</v>
      </c>
      <c r="Y65" s="266">
        <v>200</v>
      </c>
      <c r="Z65" s="266">
        <v>200</v>
      </c>
      <c r="AA65" s="266">
        <v>100</v>
      </c>
      <c r="AB65" s="266">
        <v>100</v>
      </c>
      <c r="AC65" s="266">
        <f t="shared" si="12"/>
        <v>2000</v>
      </c>
      <c r="AD65" s="266"/>
      <c r="AE65" s="266"/>
      <c r="AF65" s="266"/>
      <c r="AG65" s="71">
        <v>0</v>
      </c>
      <c r="AH65" s="71">
        <v>0</v>
      </c>
      <c r="AI65" s="71">
        <v>0</v>
      </c>
      <c r="AJ65" s="71">
        <f t="shared" si="13"/>
        <v>0</v>
      </c>
      <c r="AK65" s="71">
        <f t="shared" si="14"/>
        <v>2000</v>
      </c>
      <c r="AL65" s="71">
        <f t="shared" si="6"/>
        <v>0</v>
      </c>
      <c r="AM65" s="73">
        <f t="shared" si="0"/>
        <v>0</v>
      </c>
      <c r="AN65" s="73">
        <f t="shared" si="1"/>
        <v>0</v>
      </c>
      <c r="AO65" s="71"/>
      <c r="AP65" s="73"/>
      <c r="AQ65" s="73">
        <f t="shared" si="15"/>
        <v>0</v>
      </c>
      <c r="AR65" s="73">
        <f t="shared" si="16"/>
        <v>2000</v>
      </c>
      <c r="AS65" s="244"/>
      <c r="AT65" s="275" t="s">
        <v>254</v>
      </c>
      <c r="AU65" s="278"/>
    </row>
    <row r="66" s="224" customFormat="1" ht="52" customHeight="1" spans="1:47">
      <c r="A66" s="240">
        <f t="shared" si="19"/>
        <v>63</v>
      </c>
      <c r="B66" s="255" t="s">
        <v>586</v>
      </c>
      <c r="C66" s="242" t="s">
        <v>278</v>
      </c>
      <c r="D66" s="243" t="s">
        <v>489</v>
      </c>
      <c r="E66" s="244" t="s">
        <v>49</v>
      </c>
      <c r="F66" s="245">
        <v>31</v>
      </c>
      <c r="G66" s="246">
        <v>0</v>
      </c>
      <c r="H66" s="246">
        <v>0</v>
      </c>
      <c r="I66" s="246">
        <v>0</v>
      </c>
      <c r="J66" s="246">
        <v>0</v>
      </c>
      <c r="K66" s="246">
        <v>0</v>
      </c>
      <c r="L66" s="246">
        <v>0</v>
      </c>
      <c r="M66" s="246">
        <v>0</v>
      </c>
      <c r="N66" s="246">
        <v>0</v>
      </c>
      <c r="O66" s="251" t="s">
        <v>587</v>
      </c>
      <c r="P66" s="246">
        <v>0</v>
      </c>
      <c r="Q66" s="246">
        <v>0</v>
      </c>
      <c r="R66" s="246">
        <v>0</v>
      </c>
      <c r="S66" s="263"/>
      <c r="T66" s="263"/>
      <c r="U66" s="267" t="s">
        <v>588</v>
      </c>
      <c r="V66" s="265">
        <v>1000</v>
      </c>
      <c r="W66" s="266">
        <v>300</v>
      </c>
      <c r="X66" s="266">
        <v>200</v>
      </c>
      <c r="Y66" s="266">
        <v>100</v>
      </c>
      <c r="Z66" s="266">
        <v>100</v>
      </c>
      <c r="AA66" s="266">
        <v>100</v>
      </c>
      <c r="AB66" s="266">
        <v>100</v>
      </c>
      <c r="AC66" s="266">
        <f t="shared" si="12"/>
        <v>1900</v>
      </c>
      <c r="AD66" s="266"/>
      <c r="AE66" s="266"/>
      <c r="AF66" s="266"/>
      <c r="AG66" s="71">
        <v>0</v>
      </c>
      <c r="AH66" s="71">
        <v>0</v>
      </c>
      <c r="AI66" s="71">
        <v>0</v>
      </c>
      <c r="AJ66" s="71">
        <f t="shared" si="13"/>
        <v>0</v>
      </c>
      <c r="AK66" s="71">
        <f t="shared" si="14"/>
        <v>1900</v>
      </c>
      <c r="AL66" s="71">
        <f t="shared" si="6"/>
        <v>0</v>
      </c>
      <c r="AM66" s="73">
        <f t="shared" si="0"/>
        <v>0</v>
      </c>
      <c r="AN66" s="73">
        <f t="shared" si="1"/>
        <v>0</v>
      </c>
      <c r="AO66" s="71"/>
      <c r="AP66" s="73">
        <v>200</v>
      </c>
      <c r="AQ66" s="73">
        <f t="shared" si="15"/>
        <v>200</v>
      </c>
      <c r="AR66" s="73">
        <f t="shared" si="16"/>
        <v>1700</v>
      </c>
      <c r="AS66" s="250"/>
      <c r="AT66" s="275" t="s">
        <v>587</v>
      </c>
      <c r="AU66" s="278"/>
    </row>
    <row r="67" s="224" customFormat="1" ht="45" customHeight="1" spans="1:47">
      <c r="A67" s="240">
        <f t="shared" si="19"/>
        <v>64</v>
      </c>
      <c r="B67" s="255" t="s">
        <v>589</v>
      </c>
      <c r="C67" s="242" t="s">
        <v>273</v>
      </c>
      <c r="D67" s="243" t="s">
        <v>265</v>
      </c>
      <c r="E67" s="244" t="s">
        <v>49</v>
      </c>
      <c r="F67" s="245">
        <v>31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6">
        <v>0</v>
      </c>
      <c r="O67" s="251" t="s">
        <v>587</v>
      </c>
      <c r="P67" s="246">
        <v>0</v>
      </c>
      <c r="Q67" s="246">
        <v>0</v>
      </c>
      <c r="R67" s="246">
        <v>0</v>
      </c>
      <c r="S67" s="263"/>
      <c r="T67" s="263"/>
      <c r="U67" s="267" t="s">
        <v>588</v>
      </c>
      <c r="V67" s="265">
        <v>1000</v>
      </c>
      <c r="W67" s="266">
        <v>300</v>
      </c>
      <c r="X67" s="266">
        <v>200</v>
      </c>
      <c r="Y67" s="266">
        <v>100</v>
      </c>
      <c r="Z67" s="266">
        <v>100</v>
      </c>
      <c r="AA67" s="266">
        <v>100</v>
      </c>
      <c r="AB67" s="266">
        <v>100</v>
      </c>
      <c r="AC67" s="266">
        <f t="shared" si="12"/>
        <v>1900</v>
      </c>
      <c r="AD67" s="266"/>
      <c r="AE67" s="266"/>
      <c r="AF67" s="266"/>
      <c r="AG67" s="71">
        <v>0</v>
      </c>
      <c r="AH67" s="71">
        <v>0</v>
      </c>
      <c r="AI67" s="71">
        <v>0</v>
      </c>
      <c r="AJ67" s="71">
        <f t="shared" si="13"/>
        <v>0</v>
      </c>
      <c r="AK67" s="71">
        <f t="shared" si="14"/>
        <v>1900</v>
      </c>
      <c r="AL67" s="71">
        <f t="shared" si="6"/>
        <v>0</v>
      </c>
      <c r="AM67" s="73">
        <f t="shared" si="0"/>
        <v>0</v>
      </c>
      <c r="AN67" s="73">
        <f t="shared" si="1"/>
        <v>0</v>
      </c>
      <c r="AO67" s="71"/>
      <c r="AP67" s="73">
        <v>200</v>
      </c>
      <c r="AQ67" s="73">
        <f t="shared" si="15"/>
        <v>200</v>
      </c>
      <c r="AR67" s="73">
        <f t="shared" si="16"/>
        <v>1700</v>
      </c>
      <c r="AS67" s="250"/>
      <c r="AT67" s="275" t="s">
        <v>587</v>
      </c>
      <c r="AU67" s="278"/>
    </row>
    <row r="68" s="224" customFormat="1" ht="39" customHeight="1" spans="1:47">
      <c r="A68" s="240">
        <f t="shared" si="19"/>
        <v>65</v>
      </c>
      <c r="B68" s="255" t="s">
        <v>590</v>
      </c>
      <c r="C68" s="242" t="s">
        <v>273</v>
      </c>
      <c r="D68" s="243" t="s">
        <v>489</v>
      </c>
      <c r="E68" s="244" t="s">
        <v>49</v>
      </c>
      <c r="F68" s="245">
        <v>31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6">
        <v>0</v>
      </c>
      <c r="O68" s="251" t="s">
        <v>587</v>
      </c>
      <c r="P68" s="246">
        <v>0</v>
      </c>
      <c r="Q68" s="246">
        <v>0</v>
      </c>
      <c r="R68" s="246">
        <v>0</v>
      </c>
      <c r="S68" s="263"/>
      <c r="T68" s="263"/>
      <c r="U68" s="267" t="s">
        <v>588</v>
      </c>
      <c r="V68" s="265">
        <v>1000</v>
      </c>
      <c r="W68" s="266">
        <v>300</v>
      </c>
      <c r="X68" s="266">
        <v>200</v>
      </c>
      <c r="Y68" s="266">
        <v>100</v>
      </c>
      <c r="Z68" s="266">
        <v>100</v>
      </c>
      <c r="AA68" s="266">
        <v>100</v>
      </c>
      <c r="AB68" s="266">
        <v>100</v>
      </c>
      <c r="AC68" s="266">
        <f t="shared" si="12"/>
        <v>1900</v>
      </c>
      <c r="AD68" s="266"/>
      <c r="AE68" s="266"/>
      <c r="AF68" s="266"/>
      <c r="AG68" s="71">
        <v>0</v>
      </c>
      <c r="AH68" s="71">
        <v>0</v>
      </c>
      <c r="AI68" s="71">
        <v>0</v>
      </c>
      <c r="AJ68" s="71">
        <f t="shared" si="13"/>
        <v>0</v>
      </c>
      <c r="AK68" s="71">
        <f t="shared" si="14"/>
        <v>1900</v>
      </c>
      <c r="AL68" s="71">
        <f t="shared" si="6"/>
        <v>0</v>
      </c>
      <c r="AM68" s="73">
        <f t="shared" ref="AM68:AM131" si="20">AC68/F68*AL68</f>
        <v>0</v>
      </c>
      <c r="AN68" s="73">
        <f t="shared" ref="AN68:AN131" si="21">G68*2</f>
        <v>0</v>
      </c>
      <c r="AO68" s="71"/>
      <c r="AP68" s="73">
        <v>200</v>
      </c>
      <c r="AQ68" s="73">
        <f t="shared" si="15"/>
        <v>200</v>
      </c>
      <c r="AR68" s="73">
        <f t="shared" si="16"/>
        <v>1700</v>
      </c>
      <c r="AS68" s="250"/>
      <c r="AT68" s="275" t="s">
        <v>587</v>
      </c>
      <c r="AU68" s="278"/>
    </row>
    <row r="69" s="224" customFormat="1" ht="30" customHeight="1" spans="1:47">
      <c r="A69" s="240">
        <f t="shared" si="19"/>
        <v>66</v>
      </c>
      <c r="B69" s="255" t="s">
        <v>591</v>
      </c>
      <c r="C69" s="242" t="s">
        <v>530</v>
      </c>
      <c r="D69" s="243" t="s">
        <v>265</v>
      </c>
      <c r="E69" s="244" t="s">
        <v>49</v>
      </c>
      <c r="F69" s="245">
        <v>31</v>
      </c>
      <c r="G69" s="246">
        <v>0</v>
      </c>
      <c r="H69" s="246">
        <v>0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6">
        <v>0</v>
      </c>
      <c r="O69" s="251" t="s">
        <v>254</v>
      </c>
      <c r="P69" s="246">
        <v>0</v>
      </c>
      <c r="Q69" s="246">
        <v>0</v>
      </c>
      <c r="R69" s="246">
        <v>0</v>
      </c>
      <c r="S69" s="263"/>
      <c r="T69" s="263"/>
      <c r="U69" s="267">
        <v>2300</v>
      </c>
      <c r="V69" s="265">
        <v>1200</v>
      </c>
      <c r="W69" s="266">
        <v>300</v>
      </c>
      <c r="X69" s="266">
        <v>200</v>
      </c>
      <c r="Y69" s="266">
        <v>200</v>
      </c>
      <c r="Z69" s="266">
        <v>200</v>
      </c>
      <c r="AA69" s="266">
        <v>100</v>
      </c>
      <c r="AB69" s="266">
        <v>100</v>
      </c>
      <c r="AC69" s="266">
        <f t="shared" ref="AC69:AC100" si="22">SUM(V69:AB69)</f>
        <v>2300</v>
      </c>
      <c r="AD69" s="266"/>
      <c r="AE69" s="266"/>
      <c r="AF69" s="266"/>
      <c r="AG69" s="71">
        <v>0</v>
      </c>
      <c r="AH69" s="71">
        <v>0</v>
      </c>
      <c r="AI69" s="71">
        <v>0</v>
      </c>
      <c r="AJ69" s="71">
        <f t="shared" ref="AJ69:AJ100" si="23">T69</f>
        <v>0</v>
      </c>
      <c r="AK69" s="71">
        <f t="shared" ref="AK69:AK100" si="24">SUM(AC69:AJ69)</f>
        <v>2300</v>
      </c>
      <c r="AL69" s="71">
        <f t="shared" ref="AL69:AL132" si="25">H69+I69+J69/2</f>
        <v>0</v>
      </c>
      <c r="AM69" s="73">
        <f t="shared" si="20"/>
        <v>0</v>
      </c>
      <c r="AN69" s="73">
        <f t="shared" si="21"/>
        <v>0</v>
      </c>
      <c r="AO69" s="71"/>
      <c r="AP69" s="73"/>
      <c r="AQ69" s="73">
        <f t="shared" ref="AQ69:AQ100" si="26">SUM(AM69:AP69)</f>
        <v>0</v>
      </c>
      <c r="AR69" s="73">
        <f t="shared" ref="AR69:AR100" si="27">AK69-AQ69</f>
        <v>2300</v>
      </c>
      <c r="AS69" s="250"/>
      <c r="AT69" s="275" t="s">
        <v>254</v>
      </c>
      <c r="AU69" s="278"/>
    </row>
    <row r="70" s="224" customFormat="1" ht="30" customHeight="1" spans="1:47">
      <c r="A70" s="240">
        <f t="shared" si="19"/>
        <v>67</v>
      </c>
      <c r="B70" s="255" t="s">
        <v>592</v>
      </c>
      <c r="C70" s="242" t="s">
        <v>273</v>
      </c>
      <c r="D70" s="243" t="s">
        <v>489</v>
      </c>
      <c r="E70" s="244" t="s">
        <v>49</v>
      </c>
      <c r="F70" s="245">
        <v>31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6">
        <v>0</v>
      </c>
      <c r="O70" s="251" t="s">
        <v>254</v>
      </c>
      <c r="P70" s="246">
        <v>0</v>
      </c>
      <c r="Q70" s="246">
        <v>0</v>
      </c>
      <c r="R70" s="246">
        <v>0</v>
      </c>
      <c r="S70" s="263"/>
      <c r="T70" s="263"/>
      <c r="U70" s="267">
        <v>1700</v>
      </c>
      <c r="V70" s="265">
        <v>1000</v>
      </c>
      <c r="W70" s="266">
        <v>200</v>
      </c>
      <c r="X70" s="266">
        <v>100</v>
      </c>
      <c r="Y70" s="266">
        <v>100</v>
      </c>
      <c r="Z70" s="266">
        <v>100</v>
      </c>
      <c r="AA70" s="266">
        <v>100</v>
      </c>
      <c r="AB70" s="266">
        <v>100</v>
      </c>
      <c r="AC70" s="266">
        <f t="shared" si="22"/>
        <v>1700</v>
      </c>
      <c r="AD70" s="266"/>
      <c r="AE70" s="266"/>
      <c r="AF70" s="266"/>
      <c r="AG70" s="71">
        <v>0</v>
      </c>
      <c r="AH70" s="71">
        <v>0</v>
      </c>
      <c r="AI70" s="71">
        <v>0</v>
      </c>
      <c r="AJ70" s="71">
        <f t="shared" si="23"/>
        <v>0</v>
      </c>
      <c r="AK70" s="71">
        <f t="shared" si="24"/>
        <v>1700</v>
      </c>
      <c r="AL70" s="71">
        <f t="shared" si="25"/>
        <v>0</v>
      </c>
      <c r="AM70" s="73">
        <f t="shared" si="20"/>
        <v>0</v>
      </c>
      <c r="AN70" s="73">
        <f t="shared" si="21"/>
        <v>0</v>
      </c>
      <c r="AO70" s="71"/>
      <c r="AP70" s="73"/>
      <c r="AQ70" s="73">
        <f t="shared" si="26"/>
        <v>0</v>
      </c>
      <c r="AR70" s="73">
        <f t="shared" si="27"/>
        <v>1700</v>
      </c>
      <c r="AS70" s="250"/>
      <c r="AT70" s="275" t="s">
        <v>254</v>
      </c>
      <c r="AU70" s="278"/>
    </row>
    <row r="71" s="224" customFormat="1" ht="30" customHeight="1" spans="1:47">
      <c r="A71" s="240">
        <f t="shared" si="19"/>
        <v>68</v>
      </c>
      <c r="B71" s="255" t="s">
        <v>593</v>
      </c>
      <c r="C71" s="242" t="s">
        <v>267</v>
      </c>
      <c r="D71" s="243" t="s">
        <v>492</v>
      </c>
      <c r="E71" s="244" t="s">
        <v>49</v>
      </c>
      <c r="F71" s="245">
        <v>31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0</v>
      </c>
      <c r="M71" s="246">
        <v>0</v>
      </c>
      <c r="N71" s="246">
        <v>0</v>
      </c>
      <c r="O71" s="251" t="s">
        <v>275</v>
      </c>
      <c r="P71" s="246">
        <v>0</v>
      </c>
      <c r="Q71" s="246">
        <v>0</v>
      </c>
      <c r="R71" s="246">
        <v>0</v>
      </c>
      <c r="S71" s="263"/>
      <c r="T71" s="263">
        <v>100</v>
      </c>
      <c r="U71" s="267">
        <v>2300</v>
      </c>
      <c r="V71" s="265">
        <v>1200</v>
      </c>
      <c r="W71" s="266">
        <v>300</v>
      </c>
      <c r="X71" s="266">
        <v>200</v>
      </c>
      <c r="Y71" s="266">
        <v>200</v>
      </c>
      <c r="Z71" s="266">
        <v>200</v>
      </c>
      <c r="AA71" s="266">
        <v>100</v>
      </c>
      <c r="AB71" s="266">
        <v>100</v>
      </c>
      <c r="AC71" s="266">
        <f t="shared" si="22"/>
        <v>2300</v>
      </c>
      <c r="AD71" s="266"/>
      <c r="AE71" s="266"/>
      <c r="AF71" s="266"/>
      <c r="AG71" s="71">
        <v>0</v>
      </c>
      <c r="AH71" s="71">
        <v>0</v>
      </c>
      <c r="AI71" s="71">
        <v>0</v>
      </c>
      <c r="AJ71" s="71">
        <f t="shared" si="23"/>
        <v>100</v>
      </c>
      <c r="AK71" s="71">
        <f t="shared" si="24"/>
        <v>2400</v>
      </c>
      <c r="AL71" s="71">
        <f t="shared" si="25"/>
        <v>0</v>
      </c>
      <c r="AM71" s="73">
        <f t="shared" si="20"/>
        <v>0</v>
      </c>
      <c r="AN71" s="73">
        <f t="shared" si="21"/>
        <v>0</v>
      </c>
      <c r="AO71" s="71"/>
      <c r="AP71" s="73"/>
      <c r="AQ71" s="73">
        <f t="shared" si="26"/>
        <v>0</v>
      </c>
      <c r="AR71" s="73">
        <f t="shared" si="27"/>
        <v>2400</v>
      </c>
      <c r="AS71" s="250"/>
      <c r="AT71" s="275" t="s">
        <v>275</v>
      </c>
      <c r="AU71" s="278"/>
    </row>
    <row r="72" s="224" customFormat="1" ht="30" customHeight="1" spans="1:47">
      <c r="A72" s="240">
        <f t="shared" si="19"/>
        <v>69</v>
      </c>
      <c r="B72" s="255" t="s">
        <v>594</v>
      </c>
      <c r="C72" s="242" t="s">
        <v>273</v>
      </c>
      <c r="D72" s="243" t="s">
        <v>265</v>
      </c>
      <c r="E72" s="244" t="s">
        <v>49</v>
      </c>
      <c r="F72" s="245">
        <v>31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0</v>
      </c>
      <c r="M72" s="246">
        <v>0</v>
      </c>
      <c r="N72" s="246">
        <v>0</v>
      </c>
      <c r="O72" s="251" t="s">
        <v>254</v>
      </c>
      <c r="P72" s="246">
        <v>0</v>
      </c>
      <c r="Q72" s="246">
        <v>0</v>
      </c>
      <c r="R72" s="246">
        <v>0</v>
      </c>
      <c r="S72" s="263"/>
      <c r="T72" s="263"/>
      <c r="U72" s="267">
        <v>2000</v>
      </c>
      <c r="V72" s="265">
        <v>1000</v>
      </c>
      <c r="W72" s="266">
        <v>200</v>
      </c>
      <c r="X72" s="266">
        <v>200</v>
      </c>
      <c r="Y72" s="266">
        <v>200</v>
      </c>
      <c r="Z72" s="266">
        <v>200</v>
      </c>
      <c r="AA72" s="266">
        <v>100</v>
      </c>
      <c r="AB72" s="266">
        <v>100</v>
      </c>
      <c r="AC72" s="266">
        <f t="shared" si="22"/>
        <v>2000</v>
      </c>
      <c r="AD72" s="266"/>
      <c r="AE72" s="266"/>
      <c r="AF72" s="266"/>
      <c r="AG72" s="71">
        <v>0</v>
      </c>
      <c r="AH72" s="71">
        <v>0</v>
      </c>
      <c r="AI72" s="71">
        <v>0</v>
      </c>
      <c r="AJ72" s="71">
        <f t="shared" si="23"/>
        <v>0</v>
      </c>
      <c r="AK72" s="71">
        <f t="shared" si="24"/>
        <v>2000</v>
      </c>
      <c r="AL72" s="71">
        <f t="shared" si="25"/>
        <v>0</v>
      </c>
      <c r="AM72" s="73">
        <f t="shared" si="20"/>
        <v>0</v>
      </c>
      <c r="AN72" s="73">
        <f t="shared" si="21"/>
        <v>0</v>
      </c>
      <c r="AO72" s="71"/>
      <c r="AP72" s="73"/>
      <c r="AQ72" s="73">
        <f t="shared" si="26"/>
        <v>0</v>
      </c>
      <c r="AR72" s="73">
        <f t="shared" si="27"/>
        <v>2000</v>
      </c>
      <c r="AS72" s="250"/>
      <c r="AT72" s="275" t="s">
        <v>254</v>
      </c>
      <c r="AU72" s="278"/>
    </row>
    <row r="73" s="224" customFormat="1" ht="30" customHeight="1" spans="1:47">
      <c r="A73" s="240">
        <f t="shared" si="19"/>
        <v>70</v>
      </c>
      <c r="B73" s="255" t="s">
        <v>595</v>
      </c>
      <c r="C73" s="242" t="s">
        <v>273</v>
      </c>
      <c r="D73" s="243" t="s">
        <v>596</v>
      </c>
      <c r="E73" s="244" t="s">
        <v>49</v>
      </c>
      <c r="F73" s="245">
        <v>31</v>
      </c>
      <c r="G73" s="246">
        <v>0</v>
      </c>
      <c r="H73" s="246">
        <v>0</v>
      </c>
      <c r="I73" s="246">
        <v>0</v>
      </c>
      <c r="J73" s="246">
        <v>0</v>
      </c>
      <c r="K73" s="246">
        <v>0</v>
      </c>
      <c r="L73" s="246">
        <v>0</v>
      </c>
      <c r="M73" s="246">
        <v>0</v>
      </c>
      <c r="N73" s="246">
        <v>0</v>
      </c>
      <c r="O73" s="251" t="s">
        <v>254</v>
      </c>
      <c r="P73" s="246">
        <v>0</v>
      </c>
      <c r="Q73" s="246">
        <v>0</v>
      </c>
      <c r="R73" s="246">
        <v>0</v>
      </c>
      <c r="S73" s="263"/>
      <c r="T73" s="263"/>
      <c r="U73" s="267">
        <v>1700</v>
      </c>
      <c r="V73" s="265">
        <v>1000</v>
      </c>
      <c r="W73" s="266">
        <v>200</v>
      </c>
      <c r="X73" s="266">
        <v>100</v>
      </c>
      <c r="Y73" s="266">
        <v>100</v>
      </c>
      <c r="Z73" s="266">
        <v>100</v>
      </c>
      <c r="AA73" s="266">
        <v>100</v>
      </c>
      <c r="AB73" s="266">
        <v>100</v>
      </c>
      <c r="AC73" s="266">
        <f t="shared" si="22"/>
        <v>1700</v>
      </c>
      <c r="AD73" s="266"/>
      <c r="AE73" s="266"/>
      <c r="AF73" s="266"/>
      <c r="AG73" s="71">
        <v>0</v>
      </c>
      <c r="AH73" s="71">
        <v>0</v>
      </c>
      <c r="AI73" s="71">
        <v>0</v>
      </c>
      <c r="AJ73" s="71">
        <f t="shared" si="23"/>
        <v>0</v>
      </c>
      <c r="AK73" s="71">
        <f t="shared" si="24"/>
        <v>1700</v>
      </c>
      <c r="AL73" s="71">
        <f t="shared" si="25"/>
        <v>0</v>
      </c>
      <c r="AM73" s="73">
        <f t="shared" si="20"/>
        <v>0</v>
      </c>
      <c r="AN73" s="73">
        <f t="shared" si="21"/>
        <v>0</v>
      </c>
      <c r="AO73" s="71"/>
      <c r="AP73" s="73"/>
      <c r="AQ73" s="73">
        <f t="shared" si="26"/>
        <v>0</v>
      </c>
      <c r="AR73" s="73">
        <f t="shared" si="27"/>
        <v>1700</v>
      </c>
      <c r="AS73" s="250"/>
      <c r="AT73" s="275" t="s">
        <v>254</v>
      </c>
      <c r="AU73" s="278"/>
    </row>
    <row r="74" s="224" customFormat="1" ht="30" customHeight="1" spans="1:47">
      <c r="A74" s="240">
        <f t="shared" si="19"/>
        <v>71</v>
      </c>
      <c r="B74" s="255" t="s">
        <v>597</v>
      </c>
      <c r="C74" s="242" t="s">
        <v>273</v>
      </c>
      <c r="D74" s="243" t="s">
        <v>598</v>
      </c>
      <c r="E74" s="244" t="s">
        <v>49</v>
      </c>
      <c r="F74" s="245">
        <v>31</v>
      </c>
      <c r="G74" s="246">
        <v>0</v>
      </c>
      <c r="H74" s="246">
        <v>0</v>
      </c>
      <c r="I74" s="246">
        <v>0</v>
      </c>
      <c r="J74" s="246">
        <v>0</v>
      </c>
      <c r="K74" s="246">
        <v>0</v>
      </c>
      <c r="L74" s="246">
        <v>0</v>
      </c>
      <c r="M74" s="246">
        <v>0</v>
      </c>
      <c r="N74" s="246">
        <v>0</v>
      </c>
      <c r="O74" s="251" t="s">
        <v>254</v>
      </c>
      <c r="P74" s="246">
        <v>0</v>
      </c>
      <c r="Q74" s="246">
        <v>0</v>
      </c>
      <c r="R74" s="246">
        <v>0</v>
      </c>
      <c r="S74" s="263"/>
      <c r="T74" s="263"/>
      <c r="U74" s="267">
        <v>1700</v>
      </c>
      <c r="V74" s="265">
        <v>1000</v>
      </c>
      <c r="W74" s="266">
        <v>200</v>
      </c>
      <c r="X74" s="266">
        <v>100</v>
      </c>
      <c r="Y74" s="266">
        <v>100</v>
      </c>
      <c r="Z74" s="266">
        <v>100</v>
      </c>
      <c r="AA74" s="266">
        <v>100</v>
      </c>
      <c r="AB74" s="266">
        <v>100</v>
      </c>
      <c r="AC74" s="266">
        <f t="shared" si="22"/>
        <v>1700</v>
      </c>
      <c r="AD74" s="266"/>
      <c r="AE74" s="266"/>
      <c r="AF74" s="266"/>
      <c r="AG74" s="71">
        <v>0</v>
      </c>
      <c r="AH74" s="71">
        <v>0</v>
      </c>
      <c r="AI74" s="71">
        <v>0</v>
      </c>
      <c r="AJ74" s="71">
        <f t="shared" si="23"/>
        <v>0</v>
      </c>
      <c r="AK74" s="71">
        <f t="shared" si="24"/>
        <v>1700</v>
      </c>
      <c r="AL74" s="71">
        <f t="shared" si="25"/>
        <v>0</v>
      </c>
      <c r="AM74" s="73">
        <f t="shared" si="20"/>
        <v>0</v>
      </c>
      <c r="AN74" s="73">
        <f t="shared" si="21"/>
        <v>0</v>
      </c>
      <c r="AO74" s="71"/>
      <c r="AP74" s="73"/>
      <c r="AQ74" s="73">
        <f t="shared" si="26"/>
        <v>0</v>
      </c>
      <c r="AR74" s="73">
        <f t="shared" si="27"/>
        <v>1700</v>
      </c>
      <c r="AS74" s="250"/>
      <c r="AT74" s="275" t="s">
        <v>254</v>
      </c>
      <c r="AU74" s="278"/>
    </row>
    <row r="75" s="224" customFormat="1" ht="30" customHeight="1" spans="1:47">
      <c r="A75" s="240">
        <f t="shared" ref="A75:A84" si="28">ROW()-3</f>
        <v>72</v>
      </c>
      <c r="B75" s="255" t="s">
        <v>599</v>
      </c>
      <c r="C75" s="242" t="s">
        <v>273</v>
      </c>
      <c r="D75" s="243" t="s">
        <v>489</v>
      </c>
      <c r="E75" s="244" t="s">
        <v>49</v>
      </c>
      <c r="F75" s="245">
        <v>31</v>
      </c>
      <c r="G75" s="246">
        <v>0</v>
      </c>
      <c r="H75" s="246">
        <v>0</v>
      </c>
      <c r="I75" s="246">
        <v>0</v>
      </c>
      <c r="J75" s="246">
        <v>0</v>
      </c>
      <c r="K75" s="246">
        <v>0</v>
      </c>
      <c r="L75" s="246">
        <v>0</v>
      </c>
      <c r="M75" s="246">
        <v>0</v>
      </c>
      <c r="N75" s="246">
        <v>0</v>
      </c>
      <c r="O75" s="251" t="s">
        <v>254</v>
      </c>
      <c r="P75" s="246">
        <v>0</v>
      </c>
      <c r="Q75" s="246">
        <v>0</v>
      </c>
      <c r="R75" s="246">
        <v>0</v>
      </c>
      <c r="S75" s="263"/>
      <c r="T75" s="263"/>
      <c r="U75" s="267">
        <v>1700</v>
      </c>
      <c r="V75" s="265">
        <v>1000</v>
      </c>
      <c r="W75" s="266">
        <v>200</v>
      </c>
      <c r="X75" s="266">
        <v>100</v>
      </c>
      <c r="Y75" s="266">
        <v>100</v>
      </c>
      <c r="Z75" s="266">
        <v>100</v>
      </c>
      <c r="AA75" s="266">
        <v>100</v>
      </c>
      <c r="AB75" s="266">
        <v>100</v>
      </c>
      <c r="AC75" s="266">
        <f t="shared" si="22"/>
        <v>1700</v>
      </c>
      <c r="AD75" s="266"/>
      <c r="AE75" s="266"/>
      <c r="AF75" s="266"/>
      <c r="AG75" s="71">
        <v>0</v>
      </c>
      <c r="AH75" s="71">
        <v>0</v>
      </c>
      <c r="AI75" s="71">
        <v>0</v>
      </c>
      <c r="AJ75" s="71">
        <f t="shared" si="23"/>
        <v>0</v>
      </c>
      <c r="AK75" s="71">
        <f t="shared" si="24"/>
        <v>1700</v>
      </c>
      <c r="AL75" s="71">
        <f t="shared" si="25"/>
        <v>0</v>
      </c>
      <c r="AM75" s="73">
        <f t="shared" si="20"/>
        <v>0</v>
      </c>
      <c r="AN75" s="73">
        <f t="shared" si="21"/>
        <v>0</v>
      </c>
      <c r="AO75" s="71"/>
      <c r="AP75" s="73"/>
      <c r="AQ75" s="73">
        <f t="shared" si="26"/>
        <v>0</v>
      </c>
      <c r="AR75" s="73">
        <f t="shared" si="27"/>
        <v>1700</v>
      </c>
      <c r="AS75" s="250"/>
      <c r="AT75" s="275" t="s">
        <v>254</v>
      </c>
      <c r="AU75" s="278"/>
    </row>
    <row r="76" s="224" customFormat="1" ht="30" customHeight="1" spans="1:47">
      <c r="A76" s="240">
        <f t="shared" si="28"/>
        <v>73</v>
      </c>
      <c r="B76" s="255" t="s">
        <v>600</v>
      </c>
      <c r="C76" s="242" t="s">
        <v>267</v>
      </c>
      <c r="D76" s="243" t="s">
        <v>288</v>
      </c>
      <c r="E76" s="244" t="s">
        <v>49</v>
      </c>
      <c r="F76" s="245">
        <v>31</v>
      </c>
      <c r="G76" s="246">
        <v>0</v>
      </c>
      <c r="H76" s="246">
        <v>0</v>
      </c>
      <c r="I76" s="246">
        <v>0</v>
      </c>
      <c r="J76" s="246">
        <v>0</v>
      </c>
      <c r="K76" s="246">
        <v>0</v>
      </c>
      <c r="L76" s="246">
        <v>0</v>
      </c>
      <c r="M76" s="246">
        <v>0</v>
      </c>
      <c r="N76" s="246">
        <v>0</v>
      </c>
      <c r="O76" s="251" t="s">
        <v>254</v>
      </c>
      <c r="P76" s="246">
        <v>0</v>
      </c>
      <c r="Q76" s="246">
        <v>0</v>
      </c>
      <c r="R76" s="246">
        <v>0</v>
      </c>
      <c r="S76" s="263"/>
      <c r="T76" s="263"/>
      <c r="U76" s="267">
        <v>2300</v>
      </c>
      <c r="V76" s="265">
        <v>1200</v>
      </c>
      <c r="W76" s="266">
        <v>300</v>
      </c>
      <c r="X76" s="266">
        <v>200</v>
      </c>
      <c r="Y76" s="266">
        <v>200</v>
      </c>
      <c r="Z76" s="266">
        <v>200</v>
      </c>
      <c r="AA76" s="266">
        <v>100</v>
      </c>
      <c r="AB76" s="266">
        <v>100</v>
      </c>
      <c r="AC76" s="266">
        <f t="shared" si="22"/>
        <v>2300</v>
      </c>
      <c r="AD76" s="266"/>
      <c r="AE76" s="266"/>
      <c r="AF76" s="266"/>
      <c r="AG76" s="71">
        <v>0</v>
      </c>
      <c r="AH76" s="71">
        <v>0</v>
      </c>
      <c r="AI76" s="71">
        <v>0</v>
      </c>
      <c r="AJ76" s="71">
        <f t="shared" si="23"/>
        <v>0</v>
      </c>
      <c r="AK76" s="71">
        <f t="shared" si="24"/>
        <v>2300</v>
      </c>
      <c r="AL76" s="71">
        <f t="shared" si="25"/>
        <v>0</v>
      </c>
      <c r="AM76" s="73">
        <f t="shared" si="20"/>
        <v>0</v>
      </c>
      <c r="AN76" s="73">
        <f t="shared" si="21"/>
        <v>0</v>
      </c>
      <c r="AO76" s="71"/>
      <c r="AP76" s="73"/>
      <c r="AQ76" s="73">
        <f t="shared" si="26"/>
        <v>0</v>
      </c>
      <c r="AR76" s="73">
        <f t="shared" si="27"/>
        <v>2300</v>
      </c>
      <c r="AS76" s="250"/>
      <c r="AT76" s="275" t="s">
        <v>254</v>
      </c>
      <c r="AU76" s="278"/>
    </row>
    <row r="77" s="224" customFormat="1" ht="30" customHeight="1" spans="1:47">
      <c r="A77" s="240">
        <f t="shared" si="28"/>
        <v>74</v>
      </c>
      <c r="B77" s="255" t="s">
        <v>601</v>
      </c>
      <c r="C77" s="259" t="s">
        <v>273</v>
      </c>
      <c r="D77" s="247" t="s">
        <v>480</v>
      </c>
      <c r="E77" s="244" t="s">
        <v>49</v>
      </c>
      <c r="F77" s="250">
        <v>31</v>
      </c>
      <c r="G77" s="249">
        <v>0</v>
      </c>
      <c r="H77" s="249">
        <v>0</v>
      </c>
      <c r="I77" s="249">
        <v>0</v>
      </c>
      <c r="J77" s="249">
        <v>0</v>
      </c>
      <c r="K77" s="249">
        <v>0</v>
      </c>
      <c r="L77" s="249">
        <v>0</v>
      </c>
      <c r="M77" s="249">
        <v>0</v>
      </c>
      <c r="N77" s="249">
        <v>0</v>
      </c>
      <c r="O77" s="251" t="s">
        <v>254</v>
      </c>
      <c r="P77" s="246">
        <v>0</v>
      </c>
      <c r="Q77" s="246">
        <v>0</v>
      </c>
      <c r="R77" s="246">
        <v>0</v>
      </c>
      <c r="S77" s="263"/>
      <c r="T77" s="263"/>
      <c r="U77" s="267">
        <v>1700</v>
      </c>
      <c r="V77" s="265">
        <v>1000</v>
      </c>
      <c r="W77" s="266">
        <v>200</v>
      </c>
      <c r="X77" s="266">
        <v>100</v>
      </c>
      <c r="Y77" s="266">
        <v>100</v>
      </c>
      <c r="Z77" s="266">
        <v>100</v>
      </c>
      <c r="AA77" s="266">
        <v>100</v>
      </c>
      <c r="AB77" s="266">
        <v>100</v>
      </c>
      <c r="AC77" s="266">
        <f t="shared" si="22"/>
        <v>1700</v>
      </c>
      <c r="AD77" s="266"/>
      <c r="AE77" s="266"/>
      <c r="AF77" s="266"/>
      <c r="AG77" s="71">
        <v>0</v>
      </c>
      <c r="AH77" s="71">
        <v>0</v>
      </c>
      <c r="AI77" s="71">
        <v>0</v>
      </c>
      <c r="AJ77" s="71">
        <f t="shared" si="23"/>
        <v>0</v>
      </c>
      <c r="AK77" s="71">
        <f t="shared" si="24"/>
        <v>1700</v>
      </c>
      <c r="AL77" s="71">
        <f t="shared" si="25"/>
        <v>0</v>
      </c>
      <c r="AM77" s="73">
        <f t="shared" si="20"/>
        <v>0</v>
      </c>
      <c r="AN77" s="73">
        <f t="shared" si="21"/>
        <v>0</v>
      </c>
      <c r="AO77" s="71"/>
      <c r="AP77" s="73"/>
      <c r="AQ77" s="73">
        <f t="shared" si="26"/>
        <v>0</v>
      </c>
      <c r="AR77" s="73">
        <f t="shared" si="27"/>
        <v>1700</v>
      </c>
      <c r="AS77" s="244"/>
      <c r="AT77" s="275" t="s">
        <v>254</v>
      </c>
      <c r="AU77" s="278"/>
    </row>
    <row r="78" s="224" customFormat="1" ht="42" customHeight="1" spans="1:47">
      <c r="A78" s="240">
        <f t="shared" si="28"/>
        <v>75</v>
      </c>
      <c r="B78" s="255" t="s">
        <v>602</v>
      </c>
      <c r="C78" s="252" t="s">
        <v>267</v>
      </c>
      <c r="D78" s="243" t="s">
        <v>603</v>
      </c>
      <c r="E78" s="244" t="s">
        <v>49</v>
      </c>
      <c r="F78" s="245">
        <v>31</v>
      </c>
      <c r="G78" s="246">
        <v>0</v>
      </c>
      <c r="H78" s="246">
        <v>0</v>
      </c>
      <c r="I78" s="246">
        <v>0</v>
      </c>
      <c r="J78" s="246">
        <v>0</v>
      </c>
      <c r="K78" s="246">
        <v>0</v>
      </c>
      <c r="L78" s="246">
        <v>0</v>
      </c>
      <c r="M78" s="246">
        <v>0</v>
      </c>
      <c r="N78" s="246">
        <v>0</v>
      </c>
      <c r="O78" s="251" t="s">
        <v>604</v>
      </c>
      <c r="P78" s="246">
        <v>0</v>
      </c>
      <c r="Q78" s="246">
        <v>0</v>
      </c>
      <c r="R78" s="246">
        <v>0</v>
      </c>
      <c r="S78" s="263"/>
      <c r="T78" s="263"/>
      <c r="U78" s="267">
        <v>2300</v>
      </c>
      <c r="V78" s="265">
        <v>1200</v>
      </c>
      <c r="W78" s="266">
        <v>300</v>
      </c>
      <c r="X78" s="266">
        <v>200</v>
      </c>
      <c r="Y78" s="266">
        <v>200</v>
      </c>
      <c r="Z78" s="266">
        <v>200</v>
      </c>
      <c r="AA78" s="266">
        <v>100</v>
      </c>
      <c r="AB78" s="266">
        <v>100</v>
      </c>
      <c r="AC78" s="266">
        <f t="shared" si="22"/>
        <v>2300</v>
      </c>
      <c r="AD78" s="266">
        <v>500</v>
      </c>
      <c r="AE78" s="266"/>
      <c r="AF78" s="266"/>
      <c r="AG78" s="71">
        <v>0</v>
      </c>
      <c r="AH78" s="71">
        <v>0</v>
      </c>
      <c r="AI78" s="71">
        <v>0</v>
      </c>
      <c r="AJ78" s="71">
        <f t="shared" si="23"/>
        <v>0</v>
      </c>
      <c r="AK78" s="71">
        <f t="shared" si="24"/>
        <v>2800</v>
      </c>
      <c r="AL78" s="71">
        <f t="shared" si="25"/>
        <v>0</v>
      </c>
      <c r="AM78" s="73">
        <f t="shared" si="20"/>
        <v>0</v>
      </c>
      <c r="AN78" s="73">
        <f t="shared" si="21"/>
        <v>0</v>
      </c>
      <c r="AO78" s="71"/>
      <c r="AP78" s="73"/>
      <c r="AQ78" s="73">
        <f t="shared" si="26"/>
        <v>0</v>
      </c>
      <c r="AR78" s="73">
        <f t="shared" si="27"/>
        <v>2800</v>
      </c>
      <c r="AS78" s="250"/>
      <c r="AT78" s="275" t="s">
        <v>604</v>
      </c>
      <c r="AU78" s="278"/>
    </row>
    <row r="79" s="224" customFormat="1" ht="30" customHeight="1" spans="1:47">
      <c r="A79" s="240">
        <f t="shared" si="28"/>
        <v>76</v>
      </c>
      <c r="B79" s="255" t="s">
        <v>605</v>
      </c>
      <c r="C79" s="252" t="s">
        <v>267</v>
      </c>
      <c r="D79" s="243" t="s">
        <v>606</v>
      </c>
      <c r="E79" s="244" t="s">
        <v>49</v>
      </c>
      <c r="F79" s="250">
        <v>31</v>
      </c>
      <c r="G79" s="246">
        <v>0</v>
      </c>
      <c r="H79" s="246">
        <v>0</v>
      </c>
      <c r="I79" s="246">
        <v>0</v>
      </c>
      <c r="J79" s="246">
        <v>0</v>
      </c>
      <c r="K79" s="246">
        <v>0</v>
      </c>
      <c r="L79" s="246">
        <v>0</v>
      </c>
      <c r="M79" s="246">
        <v>0</v>
      </c>
      <c r="N79" s="246">
        <v>0</v>
      </c>
      <c r="O79" s="251" t="s">
        <v>254</v>
      </c>
      <c r="P79" s="246">
        <v>0</v>
      </c>
      <c r="Q79" s="246">
        <v>0</v>
      </c>
      <c r="R79" s="246">
        <v>0</v>
      </c>
      <c r="S79" s="263"/>
      <c r="T79" s="263"/>
      <c r="U79" s="267">
        <v>2300</v>
      </c>
      <c r="V79" s="265">
        <v>1200</v>
      </c>
      <c r="W79" s="266">
        <v>300</v>
      </c>
      <c r="X79" s="266">
        <v>200</v>
      </c>
      <c r="Y79" s="266">
        <v>200</v>
      </c>
      <c r="Z79" s="266">
        <v>200</v>
      </c>
      <c r="AA79" s="266">
        <v>100</v>
      </c>
      <c r="AB79" s="266">
        <v>100</v>
      </c>
      <c r="AC79" s="266">
        <f t="shared" si="22"/>
        <v>2300</v>
      </c>
      <c r="AD79" s="266"/>
      <c r="AE79" s="266"/>
      <c r="AF79" s="266"/>
      <c r="AG79" s="71">
        <v>0</v>
      </c>
      <c r="AH79" s="71">
        <v>0</v>
      </c>
      <c r="AI79" s="71">
        <v>0</v>
      </c>
      <c r="AJ79" s="71">
        <f t="shared" si="23"/>
        <v>0</v>
      </c>
      <c r="AK79" s="71">
        <f t="shared" si="24"/>
        <v>2300</v>
      </c>
      <c r="AL79" s="71">
        <f t="shared" si="25"/>
        <v>0</v>
      </c>
      <c r="AM79" s="73">
        <f t="shared" si="20"/>
        <v>0</v>
      </c>
      <c r="AN79" s="73">
        <f t="shared" si="21"/>
        <v>0</v>
      </c>
      <c r="AO79" s="71"/>
      <c r="AP79" s="73"/>
      <c r="AQ79" s="73">
        <f t="shared" si="26"/>
        <v>0</v>
      </c>
      <c r="AR79" s="73">
        <f t="shared" si="27"/>
        <v>2300</v>
      </c>
      <c r="AS79" s="250"/>
      <c r="AT79" s="275" t="s">
        <v>254</v>
      </c>
      <c r="AU79" s="278"/>
    </row>
    <row r="80" s="224" customFormat="1" ht="30" customHeight="1" spans="1:47">
      <c r="A80" s="240">
        <f t="shared" si="28"/>
        <v>77</v>
      </c>
      <c r="B80" s="255" t="s">
        <v>607</v>
      </c>
      <c r="C80" s="252" t="s">
        <v>267</v>
      </c>
      <c r="D80" s="243" t="s">
        <v>608</v>
      </c>
      <c r="E80" s="244" t="s">
        <v>49</v>
      </c>
      <c r="F80" s="245">
        <v>31</v>
      </c>
      <c r="G80" s="246">
        <v>0</v>
      </c>
      <c r="H80" s="246">
        <v>0</v>
      </c>
      <c r="I80" s="246">
        <v>0</v>
      </c>
      <c r="J80" s="246">
        <v>0</v>
      </c>
      <c r="K80" s="246">
        <v>0</v>
      </c>
      <c r="L80" s="246">
        <v>0</v>
      </c>
      <c r="M80" s="246">
        <v>0</v>
      </c>
      <c r="N80" s="246">
        <v>0</v>
      </c>
      <c r="O80" s="251" t="s">
        <v>609</v>
      </c>
      <c r="P80" s="246">
        <v>0</v>
      </c>
      <c r="Q80" s="246">
        <v>0</v>
      </c>
      <c r="R80" s="246">
        <v>0</v>
      </c>
      <c r="S80" s="263"/>
      <c r="T80" s="263"/>
      <c r="U80" s="267">
        <v>2300</v>
      </c>
      <c r="V80" s="265">
        <v>1200</v>
      </c>
      <c r="W80" s="266">
        <v>300</v>
      </c>
      <c r="X80" s="266">
        <v>200</v>
      </c>
      <c r="Y80" s="266">
        <v>200</v>
      </c>
      <c r="Z80" s="266">
        <v>200</v>
      </c>
      <c r="AA80" s="266">
        <v>100</v>
      </c>
      <c r="AB80" s="266">
        <v>100</v>
      </c>
      <c r="AC80" s="266">
        <f t="shared" si="22"/>
        <v>2300</v>
      </c>
      <c r="AD80" s="266">
        <v>200</v>
      </c>
      <c r="AE80" s="266"/>
      <c r="AF80" s="266"/>
      <c r="AG80" s="71">
        <v>0</v>
      </c>
      <c r="AH80" s="71">
        <v>0</v>
      </c>
      <c r="AI80" s="71">
        <v>0</v>
      </c>
      <c r="AJ80" s="71">
        <f t="shared" si="23"/>
        <v>0</v>
      </c>
      <c r="AK80" s="71">
        <f t="shared" si="24"/>
        <v>2500</v>
      </c>
      <c r="AL80" s="71">
        <f t="shared" si="25"/>
        <v>0</v>
      </c>
      <c r="AM80" s="73">
        <f t="shared" si="20"/>
        <v>0</v>
      </c>
      <c r="AN80" s="73">
        <f t="shared" si="21"/>
        <v>0</v>
      </c>
      <c r="AO80" s="71"/>
      <c r="AP80" s="73"/>
      <c r="AQ80" s="73">
        <f t="shared" si="26"/>
        <v>0</v>
      </c>
      <c r="AR80" s="73">
        <f t="shared" si="27"/>
        <v>2500</v>
      </c>
      <c r="AS80" s="250"/>
      <c r="AT80" s="275" t="s">
        <v>609</v>
      </c>
      <c r="AU80" s="278"/>
    </row>
    <row r="81" s="224" customFormat="1" ht="30" customHeight="1" spans="1:47">
      <c r="A81" s="240">
        <f t="shared" si="28"/>
        <v>78</v>
      </c>
      <c r="B81" s="255" t="s">
        <v>610</v>
      </c>
      <c r="C81" s="252" t="s">
        <v>267</v>
      </c>
      <c r="D81" s="243" t="s">
        <v>498</v>
      </c>
      <c r="E81" s="244" t="s">
        <v>49</v>
      </c>
      <c r="F81" s="250">
        <v>31</v>
      </c>
      <c r="G81" s="246">
        <v>0</v>
      </c>
      <c r="H81" s="246">
        <v>0</v>
      </c>
      <c r="I81" s="246">
        <v>0</v>
      </c>
      <c r="J81" s="246">
        <v>0</v>
      </c>
      <c r="K81" s="246">
        <v>0</v>
      </c>
      <c r="L81" s="246">
        <v>0</v>
      </c>
      <c r="M81" s="246">
        <v>0</v>
      </c>
      <c r="N81" s="246">
        <v>0</v>
      </c>
      <c r="O81" s="251" t="s">
        <v>609</v>
      </c>
      <c r="P81" s="246">
        <v>0</v>
      </c>
      <c r="Q81" s="246">
        <v>0</v>
      </c>
      <c r="R81" s="246">
        <v>0</v>
      </c>
      <c r="S81" s="263"/>
      <c r="T81" s="263"/>
      <c r="U81" s="267">
        <v>2300</v>
      </c>
      <c r="V81" s="265">
        <v>1200</v>
      </c>
      <c r="W81" s="266">
        <v>300</v>
      </c>
      <c r="X81" s="266">
        <v>200</v>
      </c>
      <c r="Y81" s="266">
        <v>200</v>
      </c>
      <c r="Z81" s="266">
        <v>200</v>
      </c>
      <c r="AA81" s="266">
        <v>100</v>
      </c>
      <c r="AB81" s="266">
        <v>100</v>
      </c>
      <c r="AC81" s="266">
        <f t="shared" si="22"/>
        <v>2300</v>
      </c>
      <c r="AD81" s="266">
        <v>200</v>
      </c>
      <c r="AE81" s="266"/>
      <c r="AF81" s="266"/>
      <c r="AG81" s="71">
        <v>0</v>
      </c>
      <c r="AH81" s="71">
        <v>0</v>
      </c>
      <c r="AI81" s="71">
        <v>0</v>
      </c>
      <c r="AJ81" s="71">
        <f t="shared" si="23"/>
        <v>0</v>
      </c>
      <c r="AK81" s="71">
        <f t="shared" si="24"/>
        <v>2500</v>
      </c>
      <c r="AL81" s="71">
        <f t="shared" si="25"/>
        <v>0</v>
      </c>
      <c r="AM81" s="73">
        <f t="shared" si="20"/>
        <v>0</v>
      </c>
      <c r="AN81" s="73">
        <f t="shared" si="21"/>
        <v>0</v>
      </c>
      <c r="AO81" s="71"/>
      <c r="AP81" s="73"/>
      <c r="AQ81" s="73">
        <f t="shared" si="26"/>
        <v>0</v>
      </c>
      <c r="AR81" s="73">
        <f t="shared" si="27"/>
        <v>2500</v>
      </c>
      <c r="AS81" s="250"/>
      <c r="AT81" s="275" t="s">
        <v>609</v>
      </c>
      <c r="AU81" s="278"/>
    </row>
    <row r="82" s="224" customFormat="1" ht="75" customHeight="1" spans="1:47">
      <c r="A82" s="240">
        <f t="shared" si="28"/>
        <v>79</v>
      </c>
      <c r="B82" s="255" t="s">
        <v>611</v>
      </c>
      <c r="C82" s="252" t="s">
        <v>267</v>
      </c>
      <c r="D82" s="243" t="s">
        <v>416</v>
      </c>
      <c r="E82" s="244" t="s">
        <v>49</v>
      </c>
      <c r="F82" s="245">
        <v>31</v>
      </c>
      <c r="G82" s="246">
        <v>0</v>
      </c>
      <c r="H82" s="246">
        <v>0</v>
      </c>
      <c r="I82" s="246">
        <v>0</v>
      </c>
      <c r="J82" s="246">
        <v>0</v>
      </c>
      <c r="K82" s="246">
        <v>0</v>
      </c>
      <c r="L82" s="246">
        <v>0</v>
      </c>
      <c r="M82" s="246">
        <v>0</v>
      </c>
      <c r="N82" s="246">
        <v>0</v>
      </c>
      <c r="O82" s="251" t="s">
        <v>612</v>
      </c>
      <c r="P82" s="246">
        <v>0</v>
      </c>
      <c r="Q82" s="246">
        <v>0</v>
      </c>
      <c r="R82" s="246">
        <v>0</v>
      </c>
      <c r="S82" s="263"/>
      <c r="T82" s="263"/>
      <c r="U82" s="267">
        <v>2300</v>
      </c>
      <c r="V82" s="265">
        <v>1200</v>
      </c>
      <c r="W82" s="266">
        <v>300</v>
      </c>
      <c r="X82" s="266">
        <v>200</v>
      </c>
      <c r="Y82" s="266">
        <v>200</v>
      </c>
      <c r="Z82" s="266">
        <v>200</v>
      </c>
      <c r="AA82" s="266">
        <v>100</v>
      </c>
      <c r="AB82" s="266">
        <v>100</v>
      </c>
      <c r="AC82" s="266">
        <f t="shared" si="22"/>
        <v>2300</v>
      </c>
      <c r="AD82" s="266">
        <v>700</v>
      </c>
      <c r="AE82" s="266"/>
      <c r="AF82" s="266"/>
      <c r="AG82" s="71">
        <v>0</v>
      </c>
      <c r="AH82" s="71">
        <v>0</v>
      </c>
      <c r="AI82" s="71">
        <v>0</v>
      </c>
      <c r="AJ82" s="71">
        <f t="shared" si="23"/>
        <v>0</v>
      </c>
      <c r="AK82" s="71">
        <f t="shared" si="24"/>
        <v>3000</v>
      </c>
      <c r="AL82" s="71">
        <f t="shared" si="25"/>
        <v>0</v>
      </c>
      <c r="AM82" s="73">
        <f t="shared" si="20"/>
        <v>0</v>
      </c>
      <c r="AN82" s="73">
        <f t="shared" si="21"/>
        <v>0</v>
      </c>
      <c r="AO82" s="71"/>
      <c r="AP82" s="73"/>
      <c r="AQ82" s="73">
        <f t="shared" si="26"/>
        <v>0</v>
      </c>
      <c r="AR82" s="73">
        <f t="shared" si="27"/>
        <v>3000</v>
      </c>
      <c r="AS82" s="250"/>
      <c r="AT82" s="275" t="s">
        <v>612</v>
      </c>
      <c r="AU82" s="278"/>
    </row>
    <row r="83" s="224" customFormat="1" ht="30" customHeight="1" spans="1:47">
      <c r="A83" s="240">
        <f t="shared" si="28"/>
        <v>80</v>
      </c>
      <c r="B83" s="255" t="s">
        <v>613</v>
      </c>
      <c r="C83" s="252" t="s">
        <v>267</v>
      </c>
      <c r="D83" s="243" t="s">
        <v>416</v>
      </c>
      <c r="E83" s="244" t="s">
        <v>49</v>
      </c>
      <c r="F83" s="250">
        <v>31</v>
      </c>
      <c r="G83" s="246">
        <v>0</v>
      </c>
      <c r="H83" s="246">
        <v>0</v>
      </c>
      <c r="I83" s="246">
        <v>0</v>
      </c>
      <c r="J83" s="246">
        <v>0</v>
      </c>
      <c r="K83" s="246">
        <v>0</v>
      </c>
      <c r="L83" s="246">
        <v>0</v>
      </c>
      <c r="M83" s="246">
        <v>0</v>
      </c>
      <c r="N83" s="246">
        <v>0</v>
      </c>
      <c r="O83" s="251" t="s">
        <v>614</v>
      </c>
      <c r="P83" s="246">
        <v>0</v>
      </c>
      <c r="Q83" s="246">
        <v>0</v>
      </c>
      <c r="R83" s="246">
        <v>0</v>
      </c>
      <c r="S83" s="263"/>
      <c r="T83" s="263"/>
      <c r="U83" s="267">
        <v>2300</v>
      </c>
      <c r="V83" s="265">
        <v>1200</v>
      </c>
      <c r="W83" s="266">
        <v>300</v>
      </c>
      <c r="X83" s="266">
        <v>200</v>
      </c>
      <c r="Y83" s="266">
        <v>200</v>
      </c>
      <c r="Z83" s="266">
        <v>200</v>
      </c>
      <c r="AA83" s="266">
        <v>100</v>
      </c>
      <c r="AB83" s="266">
        <v>100</v>
      </c>
      <c r="AC83" s="266">
        <f t="shared" si="22"/>
        <v>2300</v>
      </c>
      <c r="AD83" s="266">
        <v>300</v>
      </c>
      <c r="AE83" s="266"/>
      <c r="AF83" s="266"/>
      <c r="AG83" s="71">
        <v>0</v>
      </c>
      <c r="AH83" s="71">
        <v>0</v>
      </c>
      <c r="AI83" s="71">
        <v>0</v>
      </c>
      <c r="AJ83" s="71">
        <f t="shared" si="23"/>
        <v>0</v>
      </c>
      <c r="AK83" s="71">
        <f t="shared" si="24"/>
        <v>2600</v>
      </c>
      <c r="AL83" s="71">
        <f t="shared" si="25"/>
        <v>0</v>
      </c>
      <c r="AM83" s="73">
        <f t="shared" si="20"/>
        <v>0</v>
      </c>
      <c r="AN83" s="73">
        <f t="shared" si="21"/>
        <v>0</v>
      </c>
      <c r="AO83" s="71"/>
      <c r="AP83" s="73"/>
      <c r="AQ83" s="73">
        <f t="shared" si="26"/>
        <v>0</v>
      </c>
      <c r="AR83" s="73">
        <f t="shared" si="27"/>
        <v>2600</v>
      </c>
      <c r="AS83" s="250"/>
      <c r="AT83" s="275" t="s">
        <v>614</v>
      </c>
      <c r="AU83" s="278"/>
    </row>
    <row r="84" s="224" customFormat="1" ht="30" customHeight="1" spans="1:47">
      <c r="A84" s="240">
        <f t="shared" si="28"/>
        <v>81</v>
      </c>
      <c r="B84" s="255" t="s">
        <v>615</v>
      </c>
      <c r="C84" s="252" t="s">
        <v>267</v>
      </c>
      <c r="D84" s="243" t="s">
        <v>416</v>
      </c>
      <c r="E84" s="244" t="s">
        <v>49</v>
      </c>
      <c r="F84" s="245">
        <v>31</v>
      </c>
      <c r="G84" s="246">
        <v>0</v>
      </c>
      <c r="H84" s="246">
        <v>0</v>
      </c>
      <c r="I84" s="246">
        <v>0</v>
      </c>
      <c r="J84" s="246">
        <v>0</v>
      </c>
      <c r="K84" s="246">
        <v>0</v>
      </c>
      <c r="L84" s="246">
        <v>0</v>
      </c>
      <c r="M84" s="246">
        <v>0</v>
      </c>
      <c r="N84" s="246">
        <v>0</v>
      </c>
      <c r="O84" s="251" t="s">
        <v>614</v>
      </c>
      <c r="P84" s="246">
        <v>0</v>
      </c>
      <c r="Q84" s="246">
        <v>0</v>
      </c>
      <c r="R84" s="246">
        <v>0</v>
      </c>
      <c r="S84" s="263"/>
      <c r="T84" s="263"/>
      <c r="U84" s="267">
        <v>2300</v>
      </c>
      <c r="V84" s="265">
        <v>1200</v>
      </c>
      <c r="W84" s="266">
        <v>300</v>
      </c>
      <c r="X84" s="266">
        <v>200</v>
      </c>
      <c r="Y84" s="266">
        <v>200</v>
      </c>
      <c r="Z84" s="266">
        <v>200</v>
      </c>
      <c r="AA84" s="266">
        <v>100</v>
      </c>
      <c r="AB84" s="266">
        <v>100</v>
      </c>
      <c r="AC84" s="266">
        <f t="shared" si="22"/>
        <v>2300</v>
      </c>
      <c r="AD84" s="266">
        <v>300</v>
      </c>
      <c r="AE84" s="266"/>
      <c r="AF84" s="266"/>
      <c r="AG84" s="71">
        <v>0</v>
      </c>
      <c r="AH84" s="71">
        <v>0</v>
      </c>
      <c r="AI84" s="71">
        <v>0</v>
      </c>
      <c r="AJ84" s="71">
        <f t="shared" si="23"/>
        <v>0</v>
      </c>
      <c r="AK84" s="71">
        <f t="shared" si="24"/>
        <v>2600</v>
      </c>
      <c r="AL84" s="71">
        <f t="shared" si="25"/>
        <v>0</v>
      </c>
      <c r="AM84" s="73">
        <f t="shared" si="20"/>
        <v>0</v>
      </c>
      <c r="AN84" s="73">
        <f t="shared" si="21"/>
        <v>0</v>
      </c>
      <c r="AO84" s="71"/>
      <c r="AP84" s="73"/>
      <c r="AQ84" s="73">
        <f t="shared" si="26"/>
        <v>0</v>
      </c>
      <c r="AR84" s="73">
        <f t="shared" si="27"/>
        <v>2600</v>
      </c>
      <c r="AS84" s="250"/>
      <c r="AT84" s="275" t="s">
        <v>614</v>
      </c>
      <c r="AU84" s="278"/>
    </row>
    <row r="85" s="224" customFormat="1" ht="30" customHeight="1" spans="1:47">
      <c r="A85" s="240">
        <f t="shared" ref="A85:A94" si="29">ROW()-3</f>
        <v>82</v>
      </c>
      <c r="B85" s="255" t="s">
        <v>616</v>
      </c>
      <c r="C85" s="242" t="s">
        <v>267</v>
      </c>
      <c r="D85" s="243" t="s">
        <v>617</v>
      </c>
      <c r="E85" s="244" t="s">
        <v>49</v>
      </c>
      <c r="F85" s="245">
        <v>31</v>
      </c>
      <c r="G85" s="246">
        <v>0</v>
      </c>
      <c r="H85" s="246">
        <v>0</v>
      </c>
      <c r="I85" s="246">
        <v>0</v>
      </c>
      <c r="J85" s="246">
        <v>0</v>
      </c>
      <c r="K85" s="246">
        <v>0</v>
      </c>
      <c r="L85" s="246">
        <v>0</v>
      </c>
      <c r="M85" s="246">
        <v>0</v>
      </c>
      <c r="N85" s="246">
        <v>0</v>
      </c>
      <c r="O85" s="251" t="s">
        <v>254</v>
      </c>
      <c r="P85" s="246">
        <v>0</v>
      </c>
      <c r="Q85" s="246">
        <v>0</v>
      </c>
      <c r="R85" s="246">
        <v>0</v>
      </c>
      <c r="S85" s="263"/>
      <c r="T85" s="263"/>
      <c r="U85" s="267">
        <v>2400</v>
      </c>
      <c r="V85" s="265">
        <v>1200</v>
      </c>
      <c r="W85" s="266">
        <v>300</v>
      </c>
      <c r="X85" s="266">
        <v>200</v>
      </c>
      <c r="Y85" s="266">
        <v>200</v>
      </c>
      <c r="Z85" s="266">
        <v>200</v>
      </c>
      <c r="AA85" s="266">
        <v>200</v>
      </c>
      <c r="AB85" s="266">
        <v>100</v>
      </c>
      <c r="AC85" s="266">
        <f t="shared" si="22"/>
        <v>2400</v>
      </c>
      <c r="AD85" s="266"/>
      <c r="AE85" s="266"/>
      <c r="AF85" s="266"/>
      <c r="AG85" s="71">
        <v>0</v>
      </c>
      <c r="AH85" s="71">
        <v>0</v>
      </c>
      <c r="AI85" s="71">
        <v>0</v>
      </c>
      <c r="AJ85" s="71">
        <f t="shared" si="23"/>
        <v>0</v>
      </c>
      <c r="AK85" s="71">
        <f t="shared" si="24"/>
        <v>2400</v>
      </c>
      <c r="AL85" s="71">
        <f t="shared" si="25"/>
        <v>0</v>
      </c>
      <c r="AM85" s="73">
        <f t="shared" si="20"/>
        <v>0</v>
      </c>
      <c r="AN85" s="73">
        <f t="shared" si="21"/>
        <v>0</v>
      </c>
      <c r="AO85" s="71"/>
      <c r="AP85" s="73"/>
      <c r="AQ85" s="73">
        <f t="shared" si="26"/>
        <v>0</v>
      </c>
      <c r="AR85" s="73">
        <f t="shared" si="27"/>
        <v>2400</v>
      </c>
      <c r="AS85" s="250"/>
      <c r="AT85" s="275" t="s">
        <v>254</v>
      </c>
      <c r="AU85" s="278"/>
    </row>
    <row r="86" s="224" customFormat="1" ht="30" customHeight="1" spans="1:47">
      <c r="A86" s="240">
        <f t="shared" si="29"/>
        <v>83</v>
      </c>
      <c r="B86" s="255" t="s">
        <v>618</v>
      </c>
      <c r="C86" s="242" t="s">
        <v>267</v>
      </c>
      <c r="D86" s="243" t="s">
        <v>508</v>
      </c>
      <c r="E86" s="279" t="s">
        <v>49</v>
      </c>
      <c r="F86" s="245">
        <v>31</v>
      </c>
      <c r="G86" s="251">
        <v>0</v>
      </c>
      <c r="H86" s="251">
        <v>0</v>
      </c>
      <c r="I86" s="251">
        <v>0</v>
      </c>
      <c r="J86" s="251">
        <v>0</v>
      </c>
      <c r="K86" s="251">
        <v>0</v>
      </c>
      <c r="L86" s="251">
        <v>0</v>
      </c>
      <c r="M86" s="251">
        <v>0</v>
      </c>
      <c r="N86" s="251">
        <v>0</v>
      </c>
      <c r="O86" s="251" t="s">
        <v>254</v>
      </c>
      <c r="P86" s="246">
        <v>0</v>
      </c>
      <c r="Q86" s="246">
        <v>0</v>
      </c>
      <c r="R86" s="246">
        <v>0</v>
      </c>
      <c r="S86" s="263"/>
      <c r="T86" s="263"/>
      <c r="U86" s="267">
        <v>2400</v>
      </c>
      <c r="V86" s="265">
        <v>1200</v>
      </c>
      <c r="W86" s="266">
        <v>300</v>
      </c>
      <c r="X86" s="266">
        <v>200</v>
      </c>
      <c r="Y86" s="266">
        <v>200</v>
      </c>
      <c r="Z86" s="266">
        <v>200</v>
      </c>
      <c r="AA86" s="266">
        <v>200</v>
      </c>
      <c r="AB86" s="266">
        <v>100</v>
      </c>
      <c r="AC86" s="266">
        <f t="shared" si="22"/>
        <v>2400</v>
      </c>
      <c r="AD86" s="266"/>
      <c r="AE86" s="266"/>
      <c r="AF86" s="266"/>
      <c r="AG86" s="71">
        <v>0</v>
      </c>
      <c r="AH86" s="71">
        <v>0</v>
      </c>
      <c r="AI86" s="71">
        <v>0</v>
      </c>
      <c r="AJ86" s="71">
        <f t="shared" si="23"/>
        <v>0</v>
      </c>
      <c r="AK86" s="71">
        <f t="shared" si="24"/>
        <v>2400</v>
      </c>
      <c r="AL86" s="71">
        <f t="shared" si="25"/>
        <v>0</v>
      </c>
      <c r="AM86" s="73">
        <f t="shared" si="20"/>
        <v>0</v>
      </c>
      <c r="AN86" s="73">
        <f t="shared" si="21"/>
        <v>0</v>
      </c>
      <c r="AO86" s="71"/>
      <c r="AP86" s="73"/>
      <c r="AQ86" s="73">
        <f t="shared" si="26"/>
        <v>0</v>
      </c>
      <c r="AR86" s="73">
        <f t="shared" si="27"/>
        <v>2400</v>
      </c>
      <c r="AS86" s="250"/>
      <c r="AT86" s="275" t="s">
        <v>254</v>
      </c>
      <c r="AU86" s="278"/>
    </row>
    <row r="87" s="224" customFormat="1" ht="30" customHeight="1" spans="1:47">
      <c r="A87" s="240">
        <f t="shared" si="29"/>
        <v>84</v>
      </c>
      <c r="B87" s="255" t="s">
        <v>619</v>
      </c>
      <c r="C87" s="242" t="s">
        <v>273</v>
      </c>
      <c r="D87" s="243" t="s">
        <v>620</v>
      </c>
      <c r="E87" s="279" t="s">
        <v>49</v>
      </c>
      <c r="F87" s="245">
        <v>31</v>
      </c>
      <c r="G87" s="251">
        <v>0</v>
      </c>
      <c r="H87" s="251">
        <v>0</v>
      </c>
      <c r="I87" s="251">
        <v>0</v>
      </c>
      <c r="J87" s="251">
        <v>0</v>
      </c>
      <c r="K87" s="251">
        <v>0</v>
      </c>
      <c r="L87" s="251">
        <v>0</v>
      </c>
      <c r="M87" s="251">
        <v>0</v>
      </c>
      <c r="N87" s="251">
        <v>0</v>
      </c>
      <c r="O87" s="251" t="s">
        <v>254</v>
      </c>
      <c r="P87" s="246">
        <v>0</v>
      </c>
      <c r="Q87" s="246">
        <v>0</v>
      </c>
      <c r="R87" s="246">
        <v>0</v>
      </c>
      <c r="S87" s="263"/>
      <c r="T87" s="263"/>
      <c r="U87" s="267">
        <v>1700</v>
      </c>
      <c r="V87" s="265">
        <v>1000</v>
      </c>
      <c r="W87" s="266">
        <v>200</v>
      </c>
      <c r="X87" s="266">
        <v>100</v>
      </c>
      <c r="Y87" s="266">
        <v>100</v>
      </c>
      <c r="Z87" s="266">
        <v>100</v>
      </c>
      <c r="AA87" s="266">
        <v>100</v>
      </c>
      <c r="AB87" s="266">
        <v>100</v>
      </c>
      <c r="AC87" s="266">
        <f t="shared" si="22"/>
        <v>1700</v>
      </c>
      <c r="AD87" s="266"/>
      <c r="AE87" s="266"/>
      <c r="AF87" s="266"/>
      <c r="AG87" s="71">
        <v>0</v>
      </c>
      <c r="AH87" s="71">
        <v>0</v>
      </c>
      <c r="AI87" s="71">
        <v>0</v>
      </c>
      <c r="AJ87" s="71">
        <f t="shared" si="23"/>
        <v>0</v>
      </c>
      <c r="AK87" s="71">
        <f t="shared" si="24"/>
        <v>1700</v>
      </c>
      <c r="AL87" s="71">
        <f t="shared" si="25"/>
        <v>0</v>
      </c>
      <c r="AM87" s="73">
        <f t="shared" si="20"/>
        <v>0</v>
      </c>
      <c r="AN87" s="73">
        <f t="shared" si="21"/>
        <v>0</v>
      </c>
      <c r="AO87" s="71"/>
      <c r="AP87" s="73"/>
      <c r="AQ87" s="73">
        <f t="shared" si="26"/>
        <v>0</v>
      </c>
      <c r="AR87" s="73">
        <f t="shared" si="27"/>
        <v>1700</v>
      </c>
      <c r="AS87" s="244"/>
      <c r="AT87" s="275" t="s">
        <v>254</v>
      </c>
      <c r="AU87" s="278"/>
    </row>
    <row r="88" s="224" customFormat="1" ht="30" customHeight="1" spans="1:47">
      <c r="A88" s="240">
        <f t="shared" si="29"/>
        <v>85</v>
      </c>
      <c r="B88" s="280" t="s">
        <v>493</v>
      </c>
      <c r="C88" s="242" t="s">
        <v>273</v>
      </c>
      <c r="D88" s="243" t="s">
        <v>621</v>
      </c>
      <c r="E88" s="279" t="s">
        <v>49</v>
      </c>
      <c r="F88" s="245">
        <v>31</v>
      </c>
      <c r="G88" s="251">
        <v>0</v>
      </c>
      <c r="H88" s="251">
        <v>0</v>
      </c>
      <c r="I88" s="251">
        <v>0</v>
      </c>
      <c r="J88" s="251">
        <v>0</v>
      </c>
      <c r="K88" s="251">
        <v>0</v>
      </c>
      <c r="L88" s="251">
        <v>0</v>
      </c>
      <c r="M88" s="251">
        <v>0</v>
      </c>
      <c r="N88" s="251">
        <v>0</v>
      </c>
      <c r="O88" s="251" t="s">
        <v>275</v>
      </c>
      <c r="P88" s="246">
        <v>0</v>
      </c>
      <c r="Q88" s="246">
        <v>0</v>
      </c>
      <c r="R88" s="246">
        <v>0</v>
      </c>
      <c r="S88" s="263"/>
      <c r="T88" s="263">
        <v>100</v>
      </c>
      <c r="U88" s="267">
        <v>1700</v>
      </c>
      <c r="V88" s="265">
        <v>1000</v>
      </c>
      <c r="W88" s="266">
        <v>200</v>
      </c>
      <c r="X88" s="266">
        <v>100</v>
      </c>
      <c r="Y88" s="266">
        <v>100</v>
      </c>
      <c r="Z88" s="266">
        <v>100</v>
      </c>
      <c r="AA88" s="266">
        <v>100</v>
      </c>
      <c r="AB88" s="266">
        <v>100</v>
      </c>
      <c r="AC88" s="266">
        <f t="shared" si="22"/>
        <v>1700</v>
      </c>
      <c r="AD88" s="290"/>
      <c r="AE88" s="291"/>
      <c r="AF88" s="291"/>
      <c r="AG88" s="294">
        <v>0</v>
      </c>
      <c r="AH88" s="294">
        <v>0</v>
      </c>
      <c r="AI88" s="294">
        <v>0</v>
      </c>
      <c r="AJ88" s="71">
        <f t="shared" si="23"/>
        <v>100</v>
      </c>
      <c r="AK88" s="71">
        <f t="shared" si="24"/>
        <v>1800</v>
      </c>
      <c r="AL88" s="71">
        <f t="shared" si="25"/>
        <v>0</v>
      </c>
      <c r="AM88" s="73">
        <f t="shared" si="20"/>
        <v>0</v>
      </c>
      <c r="AN88" s="73">
        <f t="shared" si="21"/>
        <v>0</v>
      </c>
      <c r="AO88" s="71"/>
      <c r="AP88" s="73"/>
      <c r="AQ88" s="73">
        <f t="shared" si="26"/>
        <v>0</v>
      </c>
      <c r="AR88" s="73">
        <f t="shared" si="27"/>
        <v>1800</v>
      </c>
      <c r="AS88" s="250"/>
      <c r="AT88" s="275" t="s">
        <v>275</v>
      </c>
      <c r="AU88" s="278"/>
    </row>
    <row r="89" s="224" customFormat="1" ht="30" customHeight="1" spans="1:47">
      <c r="A89" s="240">
        <f t="shared" si="29"/>
        <v>86</v>
      </c>
      <c r="B89" s="255" t="s">
        <v>622</v>
      </c>
      <c r="C89" s="242" t="s">
        <v>267</v>
      </c>
      <c r="D89" s="243" t="s">
        <v>623</v>
      </c>
      <c r="E89" s="279" t="s">
        <v>49</v>
      </c>
      <c r="F89" s="245">
        <v>31</v>
      </c>
      <c r="G89" s="251">
        <v>0</v>
      </c>
      <c r="H89" s="251">
        <v>0</v>
      </c>
      <c r="I89" s="251">
        <v>0</v>
      </c>
      <c r="J89" s="251">
        <v>0</v>
      </c>
      <c r="K89" s="251">
        <v>0</v>
      </c>
      <c r="L89" s="251">
        <v>0</v>
      </c>
      <c r="M89" s="251">
        <v>0</v>
      </c>
      <c r="N89" s="251">
        <v>0</v>
      </c>
      <c r="O89" s="251" t="s">
        <v>624</v>
      </c>
      <c r="P89" s="246">
        <v>0</v>
      </c>
      <c r="Q89" s="246">
        <v>0</v>
      </c>
      <c r="R89" s="246">
        <v>0</v>
      </c>
      <c r="S89" s="263"/>
      <c r="T89" s="263"/>
      <c r="U89" s="267">
        <v>2300</v>
      </c>
      <c r="V89" s="265">
        <v>1200</v>
      </c>
      <c r="W89" s="266">
        <v>300</v>
      </c>
      <c r="X89" s="266">
        <v>200</v>
      </c>
      <c r="Y89" s="266">
        <v>200</v>
      </c>
      <c r="Z89" s="266">
        <v>200</v>
      </c>
      <c r="AA89" s="266">
        <v>100</v>
      </c>
      <c r="AB89" s="266">
        <v>100</v>
      </c>
      <c r="AC89" s="266">
        <f t="shared" si="22"/>
        <v>2300</v>
      </c>
      <c r="AD89" s="290">
        <v>200</v>
      </c>
      <c r="AE89" s="291"/>
      <c r="AF89" s="291"/>
      <c r="AG89" s="294">
        <v>0</v>
      </c>
      <c r="AH89" s="294">
        <v>0</v>
      </c>
      <c r="AI89" s="294">
        <v>0</v>
      </c>
      <c r="AJ89" s="71">
        <f t="shared" si="23"/>
        <v>0</v>
      </c>
      <c r="AK89" s="71">
        <f t="shared" si="24"/>
        <v>2500</v>
      </c>
      <c r="AL89" s="71">
        <f t="shared" si="25"/>
        <v>0</v>
      </c>
      <c r="AM89" s="73">
        <f t="shared" si="20"/>
        <v>0</v>
      </c>
      <c r="AN89" s="73">
        <f t="shared" si="21"/>
        <v>0</v>
      </c>
      <c r="AO89" s="71"/>
      <c r="AP89" s="73"/>
      <c r="AQ89" s="73">
        <f t="shared" si="26"/>
        <v>0</v>
      </c>
      <c r="AR89" s="73">
        <f t="shared" si="27"/>
        <v>2500</v>
      </c>
      <c r="AS89" s="250"/>
      <c r="AT89" s="275" t="s">
        <v>624</v>
      </c>
      <c r="AU89" s="278"/>
    </row>
    <row r="90" s="224" customFormat="1" ht="30" customHeight="1" spans="1:47">
      <c r="A90" s="240">
        <f t="shared" si="29"/>
        <v>87</v>
      </c>
      <c r="B90" s="257" t="s">
        <v>625</v>
      </c>
      <c r="C90" s="250" t="s">
        <v>267</v>
      </c>
      <c r="D90" s="243" t="s">
        <v>421</v>
      </c>
      <c r="E90" s="281" t="s">
        <v>107</v>
      </c>
      <c r="F90" s="250">
        <v>16</v>
      </c>
      <c r="G90" s="251">
        <v>0</v>
      </c>
      <c r="H90" s="251">
        <v>0</v>
      </c>
      <c r="I90" s="251">
        <v>0</v>
      </c>
      <c r="J90" s="251">
        <v>0</v>
      </c>
      <c r="K90" s="251">
        <v>0</v>
      </c>
      <c r="L90" s="251">
        <v>0</v>
      </c>
      <c r="M90" s="251">
        <v>0</v>
      </c>
      <c r="N90" s="251">
        <v>0</v>
      </c>
      <c r="O90" s="261" t="s">
        <v>626</v>
      </c>
      <c r="P90" s="246">
        <v>0</v>
      </c>
      <c r="Q90" s="246">
        <v>0</v>
      </c>
      <c r="R90" s="246">
        <v>0</v>
      </c>
      <c r="S90" s="263"/>
      <c r="T90" s="263"/>
      <c r="U90" s="267">
        <v>2300</v>
      </c>
      <c r="V90" s="265">
        <f>2300/31*16</f>
        <v>1187.09677419355</v>
      </c>
      <c r="W90" s="266">
        <v>0</v>
      </c>
      <c r="X90" s="266">
        <v>0</v>
      </c>
      <c r="Y90" s="266">
        <v>0</v>
      </c>
      <c r="Z90" s="266">
        <v>0</v>
      </c>
      <c r="AA90" s="266">
        <v>0</v>
      </c>
      <c r="AB90" s="266">
        <v>0</v>
      </c>
      <c r="AC90" s="266">
        <f t="shared" si="22"/>
        <v>1187.09677419355</v>
      </c>
      <c r="AD90" s="290"/>
      <c r="AE90" s="291"/>
      <c r="AF90" s="291"/>
      <c r="AG90" s="294">
        <v>0</v>
      </c>
      <c r="AH90" s="294">
        <v>0</v>
      </c>
      <c r="AI90" s="294">
        <v>0</v>
      </c>
      <c r="AJ90" s="71">
        <f t="shared" si="23"/>
        <v>0</v>
      </c>
      <c r="AK90" s="71">
        <f t="shared" si="24"/>
        <v>1187.09677419355</v>
      </c>
      <c r="AL90" s="71">
        <f t="shared" si="25"/>
        <v>0</v>
      </c>
      <c r="AM90" s="73">
        <f t="shared" si="20"/>
        <v>0</v>
      </c>
      <c r="AN90" s="73">
        <f t="shared" si="21"/>
        <v>0</v>
      </c>
      <c r="AO90" s="71"/>
      <c r="AP90" s="73"/>
      <c r="AQ90" s="73">
        <f t="shared" si="26"/>
        <v>0</v>
      </c>
      <c r="AR90" s="73">
        <f t="shared" si="27"/>
        <v>1187.09677419355</v>
      </c>
      <c r="AS90" s="250"/>
      <c r="AT90" s="275" t="s">
        <v>626</v>
      </c>
      <c r="AU90" s="278"/>
    </row>
    <row r="91" s="224" customFormat="1" ht="30" customHeight="1" spans="1:47">
      <c r="A91" s="240">
        <f t="shared" si="29"/>
        <v>88</v>
      </c>
      <c r="B91" s="255" t="s">
        <v>627</v>
      </c>
      <c r="C91" s="250" t="s">
        <v>273</v>
      </c>
      <c r="D91" s="243" t="s">
        <v>628</v>
      </c>
      <c r="E91" s="279" t="s">
        <v>49</v>
      </c>
      <c r="F91" s="248">
        <v>31</v>
      </c>
      <c r="G91" s="251">
        <v>0</v>
      </c>
      <c r="H91" s="251">
        <v>0</v>
      </c>
      <c r="I91" s="251">
        <v>0</v>
      </c>
      <c r="J91" s="251">
        <v>0</v>
      </c>
      <c r="K91" s="251">
        <v>0</v>
      </c>
      <c r="L91" s="251">
        <v>0</v>
      </c>
      <c r="M91" s="251">
        <v>0</v>
      </c>
      <c r="N91" s="251">
        <v>0</v>
      </c>
      <c r="O91" s="251" t="s">
        <v>254</v>
      </c>
      <c r="P91" s="246">
        <v>0</v>
      </c>
      <c r="Q91" s="246">
        <v>0</v>
      </c>
      <c r="R91" s="246">
        <v>0</v>
      </c>
      <c r="S91" s="263"/>
      <c r="T91" s="263"/>
      <c r="U91" s="267">
        <v>1600</v>
      </c>
      <c r="V91" s="265">
        <v>1000</v>
      </c>
      <c r="W91" s="266">
        <v>100</v>
      </c>
      <c r="X91" s="266">
        <v>100</v>
      </c>
      <c r="Y91" s="266">
        <v>100</v>
      </c>
      <c r="Z91" s="266">
        <v>100</v>
      </c>
      <c r="AA91" s="266">
        <v>100</v>
      </c>
      <c r="AB91" s="266">
        <v>100</v>
      </c>
      <c r="AC91" s="266">
        <f t="shared" si="22"/>
        <v>1600</v>
      </c>
      <c r="AD91" s="290"/>
      <c r="AE91" s="291"/>
      <c r="AF91" s="291"/>
      <c r="AG91" s="294">
        <v>0</v>
      </c>
      <c r="AH91" s="294">
        <v>0</v>
      </c>
      <c r="AI91" s="294">
        <v>0</v>
      </c>
      <c r="AJ91" s="71">
        <f t="shared" si="23"/>
        <v>0</v>
      </c>
      <c r="AK91" s="71">
        <f t="shared" si="24"/>
        <v>1600</v>
      </c>
      <c r="AL91" s="71">
        <f t="shared" si="25"/>
        <v>0</v>
      </c>
      <c r="AM91" s="73">
        <f t="shared" si="20"/>
        <v>0</v>
      </c>
      <c r="AN91" s="73">
        <f t="shared" si="21"/>
        <v>0</v>
      </c>
      <c r="AO91" s="71"/>
      <c r="AP91" s="73"/>
      <c r="AQ91" s="73">
        <f t="shared" si="26"/>
        <v>0</v>
      </c>
      <c r="AR91" s="73">
        <f t="shared" si="27"/>
        <v>1600</v>
      </c>
      <c r="AS91" s="250"/>
      <c r="AT91" s="275" t="s">
        <v>254</v>
      </c>
      <c r="AU91" s="278"/>
    </row>
    <row r="92" s="224" customFormat="1" ht="174" customHeight="1" spans="1:47">
      <c r="A92" s="240">
        <f t="shared" si="29"/>
        <v>89</v>
      </c>
      <c r="B92" s="257" t="s">
        <v>629</v>
      </c>
      <c r="C92" s="250" t="s">
        <v>267</v>
      </c>
      <c r="D92" s="243" t="s">
        <v>630</v>
      </c>
      <c r="E92" s="258" t="s">
        <v>107</v>
      </c>
      <c r="F92" s="250">
        <v>31</v>
      </c>
      <c r="G92" s="251">
        <v>0</v>
      </c>
      <c r="H92" s="251">
        <v>0</v>
      </c>
      <c r="I92" s="251">
        <v>0</v>
      </c>
      <c r="J92" s="251">
        <v>0</v>
      </c>
      <c r="K92" s="251">
        <v>0</v>
      </c>
      <c r="L92" s="251">
        <v>0.5</v>
      </c>
      <c r="M92" s="251">
        <v>0</v>
      </c>
      <c r="N92" s="251">
        <v>0.5</v>
      </c>
      <c r="O92" s="261" t="s">
        <v>631</v>
      </c>
      <c r="P92" s="246">
        <v>0</v>
      </c>
      <c r="Q92" s="246">
        <v>0</v>
      </c>
      <c r="R92" s="246">
        <v>0</v>
      </c>
      <c r="S92" s="263"/>
      <c r="T92" s="263"/>
      <c r="U92" s="267">
        <v>2400</v>
      </c>
      <c r="V92" s="265">
        <v>1200</v>
      </c>
      <c r="W92" s="266">
        <v>300</v>
      </c>
      <c r="X92" s="266">
        <v>200</v>
      </c>
      <c r="Y92" s="266">
        <v>200</v>
      </c>
      <c r="Z92" s="266">
        <v>200</v>
      </c>
      <c r="AA92" s="266">
        <v>200</v>
      </c>
      <c r="AB92" s="266">
        <v>100</v>
      </c>
      <c r="AC92" s="266">
        <f t="shared" si="22"/>
        <v>2400</v>
      </c>
      <c r="AD92" s="290">
        <v>1239.9</v>
      </c>
      <c r="AE92" s="291"/>
      <c r="AF92" s="291"/>
      <c r="AG92" s="294">
        <v>0</v>
      </c>
      <c r="AH92" s="294">
        <v>0</v>
      </c>
      <c r="AI92" s="294">
        <v>0</v>
      </c>
      <c r="AJ92" s="71">
        <f t="shared" si="23"/>
        <v>0</v>
      </c>
      <c r="AK92" s="71">
        <f t="shared" si="24"/>
        <v>3639.9</v>
      </c>
      <c r="AL92" s="71">
        <f t="shared" si="25"/>
        <v>0</v>
      </c>
      <c r="AM92" s="73">
        <f t="shared" si="20"/>
        <v>0</v>
      </c>
      <c r="AN92" s="73">
        <f t="shared" si="21"/>
        <v>0</v>
      </c>
      <c r="AO92" s="71"/>
      <c r="AP92" s="73"/>
      <c r="AQ92" s="73">
        <f t="shared" si="26"/>
        <v>0</v>
      </c>
      <c r="AR92" s="73">
        <f t="shared" si="27"/>
        <v>3639.9</v>
      </c>
      <c r="AS92" s="250"/>
      <c r="AT92" s="275" t="s">
        <v>632</v>
      </c>
      <c r="AU92" s="278"/>
    </row>
    <row r="93" s="224" customFormat="1" ht="42" customHeight="1" spans="1:47">
      <c r="A93" s="240">
        <f t="shared" si="29"/>
        <v>90</v>
      </c>
      <c r="B93" s="255" t="s">
        <v>633</v>
      </c>
      <c r="C93" s="250" t="s">
        <v>267</v>
      </c>
      <c r="D93" s="243" t="s">
        <v>630</v>
      </c>
      <c r="E93" s="244" t="s">
        <v>49</v>
      </c>
      <c r="F93" s="248">
        <v>31</v>
      </c>
      <c r="G93" s="251">
        <v>0</v>
      </c>
      <c r="H93" s="251"/>
      <c r="I93" s="251">
        <v>0</v>
      </c>
      <c r="J93" s="251">
        <v>0</v>
      </c>
      <c r="K93" s="251">
        <v>0</v>
      </c>
      <c r="L93" s="251">
        <v>0</v>
      </c>
      <c r="M93" s="251">
        <v>0</v>
      </c>
      <c r="N93" s="251">
        <v>0</v>
      </c>
      <c r="O93" s="251" t="s">
        <v>634</v>
      </c>
      <c r="P93" s="246">
        <v>0</v>
      </c>
      <c r="Q93" s="246">
        <v>0</v>
      </c>
      <c r="R93" s="246">
        <v>0</v>
      </c>
      <c r="S93" s="263"/>
      <c r="T93" s="263"/>
      <c r="U93" s="267">
        <v>2400</v>
      </c>
      <c r="V93" s="265">
        <v>1200</v>
      </c>
      <c r="W93" s="266">
        <v>300</v>
      </c>
      <c r="X93" s="266">
        <v>200</v>
      </c>
      <c r="Y93" s="266">
        <v>200</v>
      </c>
      <c r="Z93" s="266">
        <v>200</v>
      </c>
      <c r="AA93" s="266">
        <v>200</v>
      </c>
      <c r="AB93" s="266">
        <v>100</v>
      </c>
      <c r="AC93" s="266">
        <f t="shared" si="22"/>
        <v>2400</v>
      </c>
      <c r="AD93" s="290">
        <v>400</v>
      </c>
      <c r="AE93" s="291"/>
      <c r="AF93" s="291"/>
      <c r="AG93" s="294">
        <v>0</v>
      </c>
      <c r="AH93" s="294">
        <v>0</v>
      </c>
      <c r="AI93" s="294">
        <v>0</v>
      </c>
      <c r="AJ93" s="71">
        <f t="shared" si="23"/>
        <v>0</v>
      </c>
      <c r="AK93" s="71">
        <f t="shared" si="24"/>
        <v>2800</v>
      </c>
      <c r="AL93" s="71">
        <f t="shared" si="25"/>
        <v>0</v>
      </c>
      <c r="AM93" s="73">
        <f t="shared" si="20"/>
        <v>0</v>
      </c>
      <c r="AN93" s="73">
        <f t="shared" si="21"/>
        <v>0</v>
      </c>
      <c r="AO93" s="71"/>
      <c r="AP93" s="73"/>
      <c r="AQ93" s="73">
        <f t="shared" si="26"/>
        <v>0</v>
      </c>
      <c r="AR93" s="73">
        <f t="shared" si="27"/>
        <v>2800</v>
      </c>
      <c r="AS93" s="250"/>
      <c r="AT93" s="275" t="s">
        <v>635</v>
      </c>
      <c r="AU93" s="278"/>
    </row>
    <row r="94" s="224" customFormat="1" ht="30" customHeight="1" spans="1:47">
      <c r="A94" s="240">
        <f t="shared" si="29"/>
        <v>91</v>
      </c>
      <c r="B94" s="256" t="s">
        <v>636</v>
      </c>
      <c r="C94" s="252" t="s">
        <v>530</v>
      </c>
      <c r="D94" s="243" t="s">
        <v>637</v>
      </c>
      <c r="E94" s="244" t="s">
        <v>49</v>
      </c>
      <c r="F94" s="250">
        <v>31</v>
      </c>
      <c r="G94" s="251">
        <v>0</v>
      </c>
      <c r="H94" s="251">
        <v>0</v>
      </c>
      <c r="I94" s="251">
        <v>0</v>
      </c>
      <c r="J94" s="251">
        <v>0</v>
      </c>
      <c r="K94" s="251">
        <v>0</v>
      </c>
      <c r="L94" s="251">
        <v>0</v>
      </c>
      <c r="M94" s="251">
        <v>0</v>
      </c>
      <c r="N94" s="251">
        <v>0</v>
      </c>
      <c r="O94" s="251" t="s">
        <v>254</v>
      </c>
      <c r="P94" s="251">
        <v>0</v>
      </c>
      <c r="Q94" s="251">
        <v>0</v>
      </c>
      <c r="R94" s="251">
        <v>0</v>
      </c>
      <c r="S94" s="263"/>
      <c r="T94" s="263"/>
      <c r="U94" s="267">
        <v>2000</v>
      </c>
      <c r="V94" s="265">
        <v>900</v>
      </c>
      <c r="W94" s="266">
        <v>300</v>
      </c>
      <c r="X94" s="266">
        <v>200</v>
      </c>
      <c r="Y94" s="266">
        <v>200</v>
      </c>
      <c r="Z94" s="266">
        <v>200</v>
      </c>
      <c r="AA94" s="266">
        <v>100</v>
      </c>
      <c r="AB94" s="266">
        <v>100</v>
      </c>
      <c r="AC94" s="266">
        <f t="shared" si="22"/>
        <v>2000</v>
      </c>
      <c r="AD94" s="290"/>
      <c r="AE94" s="291"/>
      <c r="AF94" s="291"/>
      <c r="AG94" s="294">
        <v>0</v>
      </c>
      <c r="AH94" s="294">
        <v>0</v>
      </c>
      <c r="AI94" s="294">
        <v>0</v>
      </c>
      <c r="AJ94" s="71">
        <f t="shared" si="23"/>
        <v>0</v>
      </c>
      <c r="AK94" s="71">
        <f t="shared" si="24"/>
        <v>2000</v>
      </c>
      <c r="AL94" s="71">
        <f t="shared" si="25"/>
        <v>0</v>
      </c>
      <c r="AM94" s="73">
        <f t="shared" si="20"/>
        <v>0</v>
      </c>
      <c r="AN94" s="73">
        <f t="shared" si="21"/>
        <v>0</v>
      </c>
      <c r="AO94" s="71"/>
      <c r="AP94" s="73"/>
      <c r="AQ94" s="73">
        <f t="shared" si="26"/>
        <v>0</v>
      </c>
      <c r="AR94" s="73">
        <f t="shared" si="27"/>
        <v>2000</v>
      </c>
      <c r="AS94" s="250"/>
      <c r="AT94" s="275" t="s">
        <v>254</v>
      </c>
      <c r="AU94" s="278"/>
    </row>
    <row r="95" s="224" customFormat="1" ht="30" customHeight="1" spans="1:47">
      <c r="A95" s="240">
        <f t="shared" ref="A95:A104" si="30">ROW()-3</f>
        <v>92</v>
      </c>
      <c r="B95" s="256" t="s">
        <v>638</v>
      </c>
      <c r="C95" s="242" t="s">
        <v>273</v>
      </c>
      <c r="D95" s="243" t="s">
        <v>639</v>
      </c>
      <c r="E95" s="279" t="s">
        <v>49</v>
      </c>
      <c r="F95" s="245">
        <v>31</v>
      </c>
      <c r="G95" s="251">
        <v>0</v>
      </c>
      <c r="H95" s="251">
        <v>0</v>
      </c>
      <c r="I95" s="251">
        <v>0</v>
      </c>
      <c r="J95" s="251">
        <v>0</v>
      </c>
      <c r="K95" s="251">
        <v>0</v>
      </c>
      <c r="L95" s="251">
        <v>0</v>
      </c>
      <c r="M95" s="251">
        <v>0</v>
      </c>
      <c r="N95" s="251">
        <v>0</v>
      </c>
      <c r="O95" s="251" t="s">
        <v>254</v>
      </c>
      <c r="P95" s="246">
        <v>0</v>
      </c>
      <c r="Q95" s="246">
        <v>0</v>
      </c>
      <c r="R95" s="246">
        <v>0</v>
      </c>
      <c r="S95" s="263"/>
      <c r="T95" s="263"/>
      <c r="U95" s="267">
        <v>1700</v>
      </c>
      <c r="V95" s="265">
        <v>1000</v>
      </c>
      <c r="W95" s="266">
        <v>200</v>
      </c>
      <c r="X95" s="266">
        <v>100</v>
      </c>
      <c r="Y95" s="266">
        <v>100</v>
      </c>
      <c r="Z95" s="266">
        <v>100</v>
      </c>
      <c r="AA95" s="266">
        <v>100</v>
      </c>
      <c r="AB95" s="266">
        <v>100</v>
      </c>
      <c r="AC95" s="266">
        <f t="shared" si="22"/>
        <v>1700</v>
      </c>
      <c r="AD95" s="290"/>
      <c r="AE95" s="291"/>
      <c r="AF95" s="291"/>
      <c r="AG95" s="294">
        <v>0</v>
      </c>
      <c r="AH95" s="294">
        <v>0</v>
      </c>
      <c r="AI95" s="294">
        <v>0</v>
      </c>
      <c r="AJ95" s="71">
        <f t="shared" si="23"/>
        <v>0</v>
      </c>
      <c r="AK95" s="71">
        <f t="shared" si="24"/>
        <v>1700</v>
      </c>
      <c r="AL95" s="71">
        <f t="shared" si="25"/>
        <v>0</v>
      </c>
      <c r="AM95" s="73">
        <f t="shared" si="20"/>
        <v>0</v>
      </c>
      <c r="AN95" s="73">
        <f t="shared" si="21"/>
        <v>0</v>
      </c>
      <c r="AO95" s="71"/>
      <c r="AP95" s="73"/>
      <c r="AQ95" s="73">
        <f t="shared" si="26"/>
        <v>0</v>
      </c>
      <c r="AR95" s="73">
        <f t="shared" si="27"/>
        <v>1700</v>
      </c>
      <c r="AS95" s="250"/>
      <c r="AT95" s="275" t="s">
        <v>254</v>
      </c>
      <c r="AU95" s="278"/>
    </row>
    <row r="96" s="224" customFormat="1" ht="30" customHeight="1" spans="1:47">
      <c r="A96" s="240">
        <f t="shared" si="30"/>
        <v>93</v>
      </c>
      <c r="B96" s="256" t="s">
        <v>640</v>
      </c>
      <c r="C96" s="242" t="s">
        <v>267</v>
      </c>
      <c r="D96" s="243" t="s">
        <v>641</v>
      </c>
      <c r="E96" s="279" t="s">
        <v>49</v>
      </c>
      <c r="F96" s="245">
        <v>31</v>
      </c>
      <c r="G96" s="251">
        <v>0</v>
      </c>
      <c r="H96" s="251">
        <v>0</v>
      </c>
      <c r="I96" s="251">
        <v>0</v>
      </c>
      <c r="J96" s="251">
        <v>0</v>
      </c>
      <c r="K96" s="251">
        <v>0</v>
      </c>
      <c r="L96" s="251">
        <v>0</v>
      </c>
      <c r="M96" s="251">
        <v>0</v>
      </c>
      <c r="N96" s="251">
        <v>0</v>
      </c>
      <c r="O96" s="251" t="s">
        <v>254</v>
      </c>
      <c r="P96" s="246">
        <v>0</v>
      </c>
      <c r="Q96" s="246">
        <v>0</v>
      </c>
      <c r="R96" s="246">
        <v>0</v>
      </c>
      <c r="S96" s="263"/>
      <c r="T96" s="263"/>
      <c r="U96" s="267">
        <v>2400</v>
      </c>
      <c r="V96" s="265">
        <v>1200</v>
      </c>
      <c r="W96" s="266">
        <v>300</v>
      </c>
      <c r="X96" s="266">
        <v>200</v>
      </c>
      <c r="Y96" s="266">
        <v>200</v>
      </c>
      <c r="Z96" s="266">
        <v>200</v>
      </c>
      <c r="AA96" s="266">
        <v>200</v>
      </c>
      <c r="AB96" s="266">
        <v>100</v>
      </c>
      <c r="AC96" s="266">
        <f t="shared" si="22"/>
        <v>2400</v>
      </c>
      <c r="AD96" s="290"/>
      <c r="AE96" s="291"/>
      <c r="AF96" s="291"/>
      <c r="AG96" s="294">
        <v>0</v>
      </c>
      <c r="AH96" s="294">
        <v>0</v>
      </c>
      <c r="AI96" s="294">
        <v>0</v>
      </c>
      <c r="AJ96" s="71">
        <f t="shared" si="23"/>
        <v>0</v>
      </c>
      <c r="AK96" s="71">
        <f t="shared" si="24"/>
        <v>2400</v>
      </c>
      <c r="AL96" s="71">
        <f t="shared" si="25"/>
        <v>0</v>
      </c>
      <c r="AM96" s="73">
        <f t="shared" si="20"/>
        <v>0</v>
      </c>
      <c r="AN96" s="73">
        <f t="shared" si="21"/>
        <v>0</v>
      </c>
      <c r="AO96" s="71"/>
      <c r="AP96" s="73"/>
      <c r="AQ96" s="73">
        <f t="shared" si="26"/>
        <v>0</v>
      </c>
      <c r="AR96" s="73">
        <f t="shared" si="27"/>
        <v>2400</v>
      </c>
      <c r="AS96" s="250"/>
      <c r="AT96" s="275" t="s">
        <v>254</v>
      </c>
      <c r="AU96" s="278"/>
    </row>
    <row r="97" s="224" customFormat="1" ht="51" customHeight="1" spans="1:47">
      <c r="A97" s="240">
        <f t="shared" si="30"/>
        <v>94</v>
      </c>
      <c r="B97" s="256" t="s">
        <v>642</v>
      </c>
      <c r="C97" s="252" t="s">
        <v>267</v>
      </c>
      <c r="D97" s="243" t="s">
        <v>425</v>
      </c>
      <c r="E97" s="279" t="s">
        <v>49</v>
      </c>
      <c r="F97" s="245">
        <v>31</v>
      </c>
      <c r="G97" s="246">
        <v>0</v>
      </c>
      <c r="H97" s="246">
        <v>0</v>
      </c>
      <c r="I97" s="246">
        <v>0</v>
      </c>
      <c r="J97" s="246">
        <v>0</v>
      </c>
      <c r="K97" s="246">
        <v>0</v>
      </c>
      <c r="L97" s="246">
        <v>0</v>
      </c>
      <c r="M97" s="246">
        <v>0</v>
      </c>
      <c r="N97" s="246">
        <v>0</v>
      </c>
      <c r="O97" s="251" t="s">
        <v>643</v>
      </c>
      <c r="P97" s="246">
        <v>0</v>
      </c>
      <c r="Q97" s="246">
        <v>0</v>
      </c>
      <c r="R97" s="246">
        <v>0</v>
      </c>
      <c r="S97" s="263"/>
      <c r="T97" s="263"/>
      <c r="U97" s="267" t="s">
        <v>572</v>
      </c>
      <c r="V97" s="265">
        <v>1200</v>
      </c>
      <c r="W97" s="266">
        <v>500</v>
      </c>
      <c r="X97" s="266">
        <v>300</v>
      </c>
      <c r="Y97" s="266">
        <v>200</v>
      </c>
      <c r="Z97" s="266">
        <v>200</v>
      </c>
      <c r="AA97" s="266">
        <v>200</v>
      </c>
      <c r="AB97" s="266">
        <v>200</v>
      </c>
      <c r="AC97" s="266">
        <f t="shared" si="22"/>
        <v>2800</v>
      </c>
      <c r="AD97" s="290">
        <v>300</v>
      </c>
      <c r="AE97" s="291"/>
      <c r="AF97" s="291"/>
      <c r="AG97" s="294">
        <v>0</v>
      </c>
      <c r="AH97" s="294">
        <v>0</v>
      </c>
      <c r="AI97" s="294">
        <v>0</v>
      </c>
      <c r="AJ97" s="71">
        <f t="shared" si="23"/>
        <v>0</v>
      </c>
      <c r="AK97" s="71">
        <f t="shared" si="24"/>
        <v>3100</v>
      </c>
      <c r="AL97" s="71">
        <f t="shared" si="25"/>
        <v>0</v>
      </c>
      <c r="AM97" s="73">
        <f t="shared" si="20"/>
        <v>0</v>
      </c>
      <c r="AN97" s="73">
        <f t="shared" si="21"/>
        <v>0</v>
      </c>
      <c r="AO97" s="71"/>
      <c r="AP97" s="73"/>
      <c r="AQ97" s="73">
        <f t="shared" si="26"/>
        <v>0</v>
      </c>
      <c r="AR97" s="73">
        <f t="shared" si="27"/>
        <v>3100</v>
      </c>
      <c r="AS97" s="250"/>
      <c r="AT97" s="275" t="s">
        <v>644</v>
      </c>
      <c r="AU97" s="278"/>
    </row>
    <row r="98" s="224" customFormat="1" ht="30" customHeight="1" spans="1:47">
      <c r="A98" s="240">
        <f t="shared" si="30"/>
        <v>95</v>
      </c>
      <c r="B98" s="256" t="s">
        <v>645</v>
      </c>
      <c r="C98" s="252" t="s">
        <v>530</v>
      </c>
      <c r="D98" s="243" t="s">
        <v>646</v>
      </c>
      <c r="E98" s="279" t="s">
        <v>49</v>
      </c>
      <c r="F98" s="250">
        <v>31</v>
      </c>
      <c r="G98" s="249">
        <v>0</v>
      </c>
      <c r="H98" s="249">
        <v>0</v>
      </c>
      <c r="I98" s="249">
        <v>0</v>
      </c>
      <c r="J98" s="249">
        <v>0</v>
      </c>
      <c r="K98" s="249">
        <v>0</v>
      </c>
      <c r="L98" s="249">
        <v>0</v>
      </c>
      <c r="M98" s="249">
        <v>0</v>
      </c>
      <c r="N98" s="249">
        <v>0</v>
      </c>
      <c r="O98" s="251" t="s">
        <v>254</v>
      </c>
      <c r="P98" s="246">
        <v>0</v>
      </c>
      <c r="Q98" s="246">
        <v>0</v>
      </c>
      <c r="R98" s="246">
        <v>0</v>
      </c>
      <c r="S98" s="263"/>
      <c r="T98" s="263"/>
      <c r="U98" s="267">
        <v>2500</v>
      </c>
      <c r="V98" s="265">
        <v>1300</v>
      </c>
      <c r="W98" s="266">
        <v>300</v>
      </c>
      <c r="X98" s="266">
        <v>200</v>
      </c>
      <c r="Y98" s="266">
        <v>200</v>
      </c>
      <c r="Z98" s="266">
        <v>200</v>
      </c>
      <c r="AA98" s="266">
        <v>200</v>
      </c>
      <c r="AB98" s="266">
        <v>100</v>
      </c>
      <c r="AC98" s="266">
        <f t="shared" si="22"/>
        <v>2500</v>
      </c>
      <c r="AD98" s="290"/>
      <c r="AE98" s="291"/>
      <c r="AF98" s="291"/>
      <c r="AG98" s="294">
        <v>0</v>
      </c>
      <c r="AH98" s="294">
        <v>0</v>
      </c>
      <c r="AI98" s="294">
        <v>0</v>
      </c>
      <c r="AJ98" s="71">
        <f t="shared" si="23"/>
        <v>0</v>
      </c>
      <c r="AK98" s="71">
        <f t="shared" si="24"/>
        <v>2500</v>
      </c>
      <c r="AL98" s="71">
        <f t="shared" si="25"/>
        <v>0</v>
      </c>
      <c r="AM98" s="73">
        <f t="shared" si="20"/>
        <v>0</v>
      </c>
      <c r="AN98" s="73">
        <f t="shared" si="21"/>
        <v>0</v>
      </c>
      <c r="AO98" s="71"/>
      <c r="AP98" s="73"/>
      <c r="AQ98" s="73">
        <f t="shared" si="26"/>
        <v>0</v>
      </c>
      <c r="AR98" s="73">
        <f t="shared" si="27"/>
        <v>2500</v>
      </c>
      <c r="AS98" s="250"/>
      <c r="AT98" s="275" t="s">
        <v>254</v>
      </c>
      <c r="AU98" s="278"/>
    </row>
    <row r="99" s="224" customFormat="1" ht="46" customHeight="1" spans="1:47">
      <c r="A99" s="240">
        <f t="shared" si="30"/>
        <v>96</v>
      </c>
      <c r="B99" s="256" t="s">
        <v>647</v>
      </c>
      <c r="C99" s="252" t="s">
        <v>530</v>
      </c>
      <c r="D99" s="243" t="s">
        <v>646</v>
      </c>
      <c r="E99" s="279" t="s">
        <v>49</v>
      </c>
      <c r="F99" s="245">
        <v>31</v>
      </c>
      <c r="G99" s="246">
        <v>0</v>
      </c>
      <c r="H99" s="246">
        <v>0</v>
      </c>
      <c r="I99" s="246">
        <v>0</v>
      </c>
      <c r="J99" s="246">
        <v>0</v>
      </c>
      <c r="K99" s="246">
        <v>0</v>
      </c>
      <c r="L99" s="246">
        <v>0</v>
      </c>
      <c r="M99" s="246">
        <v>0</v>
      </c>
      <c r="N99" s="246">
        <v>0</v>
      </c>
      <c r="O99" s="251" t="s">
        <v>254</v>
      </c>
      <c r="P99" s="246">
        <v>0</v>
      </c>
      <c r="Q99" s="246">
        <v>0</v>
      </c>
      <c r="R99" s="246">
        <v>0</v>
      </c>
      <c r="S99" s="263"/>
      <c r="T99" s="263"/>
      <c r="U99" s="267">
        <v>2500</v>
      </c>
      <c r="V99" s="265">
        <v>1300</v>
      </c>
      <c r="W99" s="266">
        <v>300</v>
      </c>
      <c r="X99" s="266">
        <v>200</v>
      </c>
      <c r="Y99" s="266">
        <v>200</v>
      </c>
      <c r="Z99" s="266">
        <v>200</v>
      </c>
      <c r="AA99" s="266">
        <v>200</v>
      </c>
      <c r="AB99" s="266">
        <v>100</v>
      </c>
      <c r="AC99" s="266">
        <f t="shared" si="22"/>
        <v>2500</v>
      </c>
      <c r="AD99" s="290"/>
      <c r="AE99" s="291"/>
      <c r="AF99" s="291"/>
      <c r="AG99" s="294">
        <v>0</v>
      </c>
      <c r="AH99" s="294">
        <v>0</v>
      </c>
      <c r="AI99" s="294">
        <v>0</v>
      </c>
      <c r="AJ99" s="71">
        <f t="shared" si="23"/>
        <v>0</v>
      </c>
      <c r="AK99" s="71">
        <f t="shared" si="24"/>
        <v>2500</v>
      </c>
      <c r="AL99" s="71">
        <f t="shared" si="25"/>
        <v>0</v>
      </c>
      <c r="AM99" s="73">
        <f t="shared" si="20"/>
        <v>0</v>
      </c>
      <c r="AN99" s="73">
        <f t="shared" si="21"/>
        <v>0</v>
      </c>
      <c r="AO99" s="71"/>
      <c r="AP99" s="73"/>
      <c r="AQ99" s="73">
        <f t="shared" si="26"/>
        <v>0</v>
      </c>
      <c r="AR99" s="73">
        <f t="shared" si="27"/>
        <v>2500</v>
      </c>
      <c r="AS99" s="250"/>
      <c r="AT99" s="275" t="s">
        <v>254</v>
      </c>
      <c r="AU99" s="278"/>
    </row>
    <row r="100" s="224" customFormat="1" ht="30" customHeight="1" spans="1:47">
      <c r="A100" s="240">
        <f t="shared" si="30"/>
        <v>97</v>
      </c>
      <c r="B100" s="256" t="s">
        <v>648</v>
      </c>
      <c r="C100" s="252" t="s">
        <v>273</v>
      </c>
      <c r="D100" s="243" t="s">
        <v>334</v>
      </c>
      <c r="E100" s="279" t="s">
        <v>49</v>
      </c>
      <c r="F100" s="250">
        <v>31</v>
      </c>
      <c r="G100" s="249">
        <v>0</v>
      </c>
      <c r="H100" s="249">
        <v>0</v>
      </c>
      <c r="I100" s="249">
        <v>0</v>
      </c>
      <c r="J100" s="249">
        <v>0</v>
      </c>
      <c r="K100" s="249">
        <v>0</v>
      </c>
      <c r="L100" s="249">
        <v>0</v>
      </c>
      <c r="M100" s="249">
        <v>0</v>
      </c>
      <c r="N100" s="249">
        <v>0</v>
      </c>
      <c r="O100" s="251" t="s">
        <v>254</v>
      </c>
      <c r="P100" s="246">
        <v>0</v>
      </c>
      <c r="Q100" s="246">
        <v>0</v>
      </c>
      <c r="R100" s="246">
        <v>0</v>
      </c>
      <c r="S100" s="263"/>
      <c r="T100" s="263"/>
      <c r="U100" s="267">
        <v>1700</v>
      </c>
      <c r="V100" s="265">
        <v>1000</v>
      </c>
      <c r="W100" s="266">
        <v>200</v>
      </c>
      <c r="X100" s="266">
        <v>100</v>
      </c>
      <c r="Y100" s="266">
        <v>100</v>
      </c>
      <c r="Z100" s="266">
        <v>100</v>
      </c>
      <c r="AA100" s="266">
        <v>100</v>
      </c>
      <c r="AB100" s="266">
        <v>100</v>
      </c>
      <c r="AC100" s="266">
        <f t="shared" si="22"/>
        <v>1700</v>
      </c>
      <c r="AD100" s="290"/>
      <c r="AE100" s="291"/>
      <c r="AF100" s="291"/>
      <c r="AG100" s="294">
        <v>0</v>
      </c>
      <c r="AH100" s="294">
        <v>0</v>
      </c>
      <c r="AI100" s="294">
        <v>0</v>
      </c>
      <c r="AJ100" s="71">
        <f t="shared" si="23"/>
        <v>0</v>
      </c>
      <c r="AK100" s="71">
        <f t="shared" si="24"/>
        <v>1700</v>
      </c>
      <c r="AL100" s="71">
        <f t="shared" si="25"/>
        <v>0</v>
      </c>
      <c r="AM100" s="73">
        <f t="shared" si="20"/>
        <v>0</v>
      </c>
      <c r="AN100" s="73">
        <f t="shared" si="21"/>
        <v>0</v>
      </c>
      <c r="AO100" s="71"/>
      <c r="AP100" s="73"/>
      <c r="AQ100" s="73">
        <f t="shared" si="26"/>
        <v>0</v>
      </c>
      <c r="AR100" s="73">
        <f t="shared" si="27"/>
        <v>1700</v>
      </c>
      <c r="AS100" s="250"/>
      <c r="AT100" s="275" t="s">
        <v>254</v>
      </c>
      <c r="AU100" s="278"/>
    </row>
    <row r="101" s="224" customFormat="1" ht="30" customHeight="1" spans="1:47">
      <c r="A101" s="240">
        <f t="shared" si="30"/>
        <v>98</v>
      </c>
      <c r="B101" s="282" t="s">
        <v>649</v>
      </c>
      <c r="C101" s="250" t="s">
        <v>273</v>
      </c>
      <c r="D101" s="243" t="s">
        <v>650</v>
      </c>
      <c r="E101" s="281" t="s">
        <v>107</v>
      </c>
      <c r="F101" s="250">
        <v>7</v>
      </c>
      <c r="G101" s="249">
        <v>0</v>
      </c>
      <c r="H101" s="249">
        <v>0</v>
      </c>
      <c r="I101" s="249">
        <v>0</v>
      </c>
      <c r="J101" s="249">
        <v>0</v>
      </c>
      <c r="K101" s="249">
        <v>0</v>
      </c>
      <c r="L101" s="249">
        <v>0</v>
      </c>
      <c r="M101" s="249">
        <v>0</v>
      </c>
      <c r="N101" s="249">
        <v>0</v>
      </c>
      <c r="O101" s="261" t="s">
        <v>651</v>
      </c>
      <c r="P101" s="246">
        <v>0</v>
      </c>
      <c r="Q101" s="246">
        <v>0</v>
      </c>
      <c r="R101" s="246">
        <v>0</v>
      </c>
      <c r="S101" s="263"/>
      <c r="T101" s="263"/>
      <c r="U101" s="267">
        <v>1600</v>
      </c>
      <c r="V101" s="265">
        <f>1600/31*7</f>
        <v>361.290322580645</v>
      </c>
      <c r="W101" s="266">
        <v>0</v>
      </c>
      <c r="X101" s="266">
        <v>0</v>
      </c>
      <c r="Y101" s="266">
        <v>0</v>
      </c>
      <c r="Z101" s="266">
        <v>0</v>
      </c>
      <c r="AA101" s="266">
        <v>0</v>
      </c>
      <c r="AB101" s="266">
        <v>0</v>
      </c>
      <c r="AC101" s="266">
        <f t="shared" ref="AC101:AC132" si="31">SUM(V101:AB101)</f>
        <v>361.290322580645</v>
      </c>
      <c r="AD101" s="290"/>
      <c r="AE101" s="291"/>
      <c r="AF101" s="291"/>
      <c r="AG101" s="294">
        <v>0</v>
      </c>
      <c r="AH101" s="294">
        <v>0</v>
      </c>
      <c r="AI101" s="294">
        <v>0</v>
      </c>
      <c r="AJ101" s="71">
        <f t="shared" ref="AJ101:AJ132" si="32">T101</f>
        <v>0</v>
      </c>
      <c r="AK101" s="71">
        <f t="shared" ref="AK101:AK132" si="33">SUM(AC101:AJ101)</f>
        <v>361.290322580645</v>
      </c>
      <c r="AL101" s="71">
        <f t="shared" si="25"/>
        <v>0</v>
      </c>
      <c r="AM101" s="73">
        <f t="shared" si="20"/>
        <v>0</v>
      </c>
      <c r="AN101" s="73">
        <f t="shared" si="21"/>
        <v>0</v>
      </c>
      <c r="AO101" s="71"/>
      <c r="AP101" s="73"/>
      <c r="AQ101" s="73">
        <f t="shared" ref="AQ101:AQ132" si="34">SUM(AM101:AP101)</f>
        <v>0</v>
      </c>
      <c r="AR101" s="73">
        <f t="shared" ref="AR101:AR132" si="35">AK101-AQ101</f>
        <v>361.290322580645</v>
      </c>
      <c r="AS101" s="250"/>
      <c r="AT101" s="275" t="s">
        <v>651</v>
      </c>
      <c r="AU101" s="278"/>
    </row>
    <row r="102" s="224" customFormat="1" ht="49" customHeight="1" spans="1:47">
      <c r="A102" s="240">
        <f t="shared" si="30"/>
        <v>99</v>
      </c>
      <c r="B102" s="256" t="s">
        <v>652</v>
      </c>
      <c r="C102" s="250" t="s">
        <v>273</v>
      </c>
      <c r="D102" s="243" t="s">
        <v>653</v>
      </c>
      <c r="E102" s="279" t="s">
        <v>49</v>
      </c>
      <c r="F102" s="248">
        <v>31</v>
      </c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6">
        <v>0</v>
      </c>
      <c r="N102" s="246">
        <v>0</v>
      </c>
      <c r="O102" s="251" t="s">
        <v>254</v>
      </c>
      <c r="P102" s="246">
        <v>0</v>
      </c>
      <c r="Q102" s="246">
        <v>0</v>
      </c>
      <c r="R102" s="246">
        <v>0</v>
      </c>
      <c r="S102" s="263"/>
      <c r="T102" s="263"/>
      <c r="U102" s="267">
        <v>1600</v>
      </c>
      <c r="V102" s="265">
        <v>900</v>
      </c>
      <c r="W102" s="266">
        <v>200</v>
      </c>
      <c r="X102" s="266">
        <v>100</v>
      </c>
      <c r="Y102" s="266">
        <v>100</v>
      </c>
      <c r="Z102" s="266">
        <v>100</v>
      </c>
      <c r="AA102" s="266">
        <v>100</v>
      </c>
      <c r="AB102" s="266">
        <v>100</v>
      </c>
      <c r="AC102" s="266">
        <f t="shared" si="31"/>
        <v>1600</v>
      </c>
      <c r="AD102" s="290"/>
      <c r="AE102" s="291"/>
      <c r="AF102" s="291"/>
      <c r="AG102" s="294">
        <v>0</v>
      </c>
      <c r="AH102" s="294">
        <v>0</v>
      </c>
      <c r="AI102" s="294">
        <v>0</v>
      </c>
      <c r="AJ102" s="71">
        <f t="shared" si="32"/>
        <v>0</v>
      </c>
      <c r="AK102" s="71">
        <f t="shared" si="33"/>
        <v>1600</v>
      </c>
      <c r="AL102" s="71">
        <f t="shared" si="25"/>
        <v>0</v>
      </c>
      <c r="AM102" s="73">
        <f t="shared" si="20"/>
        <v>0</v>
      </c>
      <c r="AN102" s="73">
        <f t="shared" si="21"/>
        <v>0</v>
      </c>
      <c r="AO102" s="71"/>
      <c r="AP102" s="73"/>
      <c r="AQ102" s="73">
        <f t="shared" si="34"/>
        <v>0</v>
      </c>
      <c r="AR102" s="73">
        <f t="shared" si="35"/>
        <v>1600</v>
      </c>
      <c r="AS102" s="250"/>
      <c r="AT102" s="275" t="s">
        <v>254</v>
      </c>
      <c r="AU102" s="278"/>
    </row>
    <row r="103" s="224" customFormat="1" ht="54" customHeight="1" spans="1:47">
      <c r="A103" s="240">
        <f t="shared" si="30"/>
        <v>100</v>
      </c>
      <c r="B103" s="256" t="s">
        <v>654</v>
      </c>
      <c r="C103" s="250" t="s">
        <v>267</v>
      </c>
      <c r="D103" s="243" t="s">
        <v>423</v>
      </c>
      <c r="E103" s="279" t="s">
        <v>49</v>
      </c>
      <c r="F103" s="250">
        <v>31</v>
      </c>
      <c r="G103" s="249">
        <v>0</v>
      </c>
      <c r="H103" s="249">
        <v>0</v>
      </c>
      <c r="I103" s="249">
        <v>0</v>
      </c>
      <c r="J103" s="249">
        <v>0</v>
      </c>
      <c r="K103" s="249">
        <v>0</v>
      </c>
      <c r="L103" s="249">
        <v>0</v>
      </c>
      <c r="M103" s="249">
        <v>0</v>
      </c>
      <c r="N103" s="249">
        <v>0</v>
      </c>
      <c r="O103" s="251" t="s">
        <v>517</v>
      </c>
      <c r="P103" s="246">
        <v>0</v>
      </c>
      <c r="Q103" s="246">
        <v>0</v>
      </c>
      <c r="R103" s="246">
        <v>0</v>
      </c>
      <c r="S103" s="263"/>
      <c r="T103" s="263"/>
      <c r="U103" s="267">
        <v>2400</v>
      </c>
      <c r="V103" s="265">
        <v>1200</v>
      </c>
      <c r="W103" s="266">
        <v>300</v>
      </c>
      <c r="X103" s="266">
        <v>200</v>
      </c>
      <c r="Y103" s="266">
        <v>200</v>
      </c>
      <c r="Z103" s="266">
        <v>200</v>
      </c>
      <c r="AA103" s="266">
        <v>200</v>
      </c>
      <c r="AB103" s="266">
        <v>100</v>
      </c>
      <c r="AC103" s="266">
        <f t="shared" si="31"/>
        <v>2400</v>
      </c>
      <c r="AD103" s="290">
        <v>1170</v>
      </c>
      <c r="AE103" s="291"/>
      <c r="AF103" s="291"/>
      <c r="AG103" s="294">
        <v>0</v>
      </c>
      <c r="AH103" s="294">
        <v>0</v>
      </c>
      <c r="AI103" s="294">
        <v>0</v>
      </c>
      <c r="AJ103" s="71">
        <f t="shared" si="32"/>
        <v>0</v>
      </c>
      <c r="AK103" s="71">
        <f t="shared" si="33"/>
        <v>3570</v>
      </c>
      <c r="AL103" s="71">
        <f t="shared" si="25"/>
        <v>0</v>
      </c>
      <c r="AM103" s="73">
        <f t="shared" si="20"/>
        <v>0</v>
      </c>
      <c r="AN103" s="73">
        <f t="shared" si="21"/>
        <v>0</v>
      </c>
      <c r="AO103" s="71"/>
      <c r="AP103" s="73"/>
      <c r="AQ103" s="73">
        <f t="shared" si="34"/>
        <v>0</v>
      </c>
      <c r="AR103" s="73">
        <f t="shared" si="35"/>
        <v>3570</v>
      </c>
      <c r="AS103" s="250"/>
      <c r="AT103" s="275" t="s">
        <v>517</v>
      </c>
      <c r="AU103" s="278"/>
    </row>
    <row r="104" s="224" customFormat="1" ht="63" customHeight="1" spans="1:47">
      <c r="A104" s="240">
        <f t="shared" si="30"/>
        <v>101</v>
      </c>
      <c r="B104" s="256" t="s">
        <v>655</v>
      </c>
      <c r="C104" s="250" t="s">
        <v>267</v>
      </c>
      <c r="D104" s="243" t="s">
        <v>646</v>
      </c>
      <c r="E104" s="279" t="s">
        <v>49</v>
      </c>
      <c r="F104" s="248">
        <v>31</v>
      </c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6">
        <v>0</v>
      </c>
      <c r="N104" s="246">
        <v>0</v>
      </c>
      <c r="O104" s="251" t="s">
        <v>656</v>
      </c>
      <c r="P104" s="246">
        <v>0</v>
      </c>
      <c r="Q104" s="246">
        <v>0</v>
      </c>
      <c r="R104" s="246">
        <v>0</v>
      </c>
      <c r="S104" s="263"/>
      <c r="T104" s="263"/>
      <c r="U104" s="267">
        <v>2400</v>
      </c>
      <c r="V104" s="265">
        <v>1200</v>
      </c>
      <c r="W104" s="266">
        <v>300</v>
      </c>
      <c r="X104" s="266">
        <v>200</v>
      </c>
      <c r="Y104" s="266">
        <v>200</v>
      </c>
      <c r="Z104" s="266">
        <v>200</v>
      </c>
      <c r="AA104" s="266">
        <v>200</v>
      </c>
      <c r="AB104" s="266">
        <v>100</v>
      </c>
      <c r="AC104" s="266">
        <f t="shared" si="31"/>
        <v>2400</v>
      </c>
      <c r="AD104" s="290">
        <v>710</v>
      </c>
      <c r="AE104" s="291"/>
      <c r="AF104" s="291"/>
      <c r="AG104" s="294">
        <v>0</v>
      </c>
      <c r="AH104" s="294">
        <v>0</v>
      </c>
      <c r="AI104" s="294">
        <v>0</v>
      </c>
      <c r="AJ104" s="71">
        <f t="shared" si="32"/>
        <v>0</v>
      </c>
      <c r="AK104" s="71">
        <f t="shared" si="33"/>
        <v>3110</v>
      </c>
      <c r="AL104" s="71">
        <f t="shared" si="25"/>
        <v>0</v>
      </c>
      <c r="AM104" s="73">
        <f t="shared" si="20"/>
        <v>0</v>
      </c>
      <c r="AN104" s="73">
        <f t="shared" si="21"/>
        <v>0</v>
      </c>
      <c r="AO104" s="71"/>
      <c r="AP104" s="73"/>
      <c r="AQ104" s="73">
        <f t="shared" si="34"/>
        <v>0</v>
      </c>
      <c r="AR104" s="73">
        <f t="shared" si="35"/>
        <v>3110</v>
      </c>
      <c r="AS104" s="250"/>
      <c r="AT104" s="275" t="s">
        <v>656</v>
      </c>
      <c r="AU104" s="278"/>
    </row>
    <row r="105" s="224" customFormat="1" ht="61" customHeight="1" spans="1:47">
      <c r="A105" s="240">
        <f t="shared" ref="A105:A114" si="36">ROW()-3</f>
        <v>102</v>
      </c>
      <c r="B105" s="256" t="s">
        <v>657</v>
      </c>
      <c r="C105" s="250" t="s">
        <v>267</v>
      </c>
      <c r="D105" s="243" t="s">
        <v>646</v>
      </c>
      <c r="E105" s="279" t="s">
        <v>49</v>
      </c>
      <c r="F105" s="250">
        <v>31</v>
      </c>
      <c r="G105" s="246">
        <v>0</v>
      </c>
      <c r="H105" s="246">
        <v>0</v>
      </c>
      <c r="I105" s="246">
        <v>0</v>
      </c>
      <c r="J105" s="246">
        <v>0</v>
      </c>
      <c r="K105" s="246">
        <v>0</v>
      </c>
      <c r="L105" s="246">
        <v>0</v>
      </c>
      <c r="M105" s="246">
        <v>0</v>
      </c>
      <c r="N105" s="246">
        <v>0</v>
      </c>
      <c r="O105" s="251" t="s">
        <v>658</v>
      </c>
      <c r="P105" s="246">
        <v>0</v>
      </c>
      <c r="Q105" s="246">
        <v>0</v>
      </c>
      <c r="R105" s="246">
        <v>0</v>
      </c>
      <c r="S105" s="263"/>
      <c r="T105" s="263"/>
      <c r="U105" s="267">
        <v>2400</v>
      </c>
      <c r="V105" s="265">
        <v>1200</v>
      </c>
      <c r="W105" s="266">
        <v>300</v>
      </c>
      <c r="X105" s="266">
        <v>200</v>
      </c>
      <c r="Y105" s="266">
        <v>200</v>
      </c>
      <c r="Z105" s="266">
        <v>200</v>
      </c>
      <c r="AA105" s="266">
        <v>200</v>
      </c>
      <c r="AB105" s="266">
        <v>100</v>
      </c>
      <c r="AC105" s="266">
        <f t="shared" si="31"/>
        <v>2400</v>
      </c>
      <c r="AD105" s="290">
        <v>1100</v>
      </c>
      <c r="AE105" s="291"/>
      <c r="AF105" s="291"/>
      <c r="AG105" s="294">
        <v>0</v>
      </c>
      <c r="AH105" s="294">
        <v>0</v>
      </c>
      <c r="AI105" s="294">
        <v>0</v>
      </c>
      <c r="AJ105" s="71">
        <f t="shared" si="32"/>
        <v>0</v>
      </c>
      <c r="AK105" s="71">
        <f t="shared" si="33"/>
        <v>3500</v>
      </c>
      <c r="AL105" s="71">
        <f t="shared" si="25"/>
        <v>0</v>
      </c>
      <c r="AM105" s="73">
        <f t="shared" si="20"/>
        <v>0</v>
      </c>
      <c r="AN105" s="73">
        <f t="shared" si="21"/>
        <v>0</v>
      </c>
      <c r="AO105" s="71"/>
      <c r="AP105" s="73"/>
      <c r="AQ105" s="73">
        <f t="shared" si="34"/>
        <v>0</v>
      </c>
      <c r="AR105" s="73">
        <f t="shared" si="35"/>
        <v>3500</v>
      </c>
      <c r="AS105" s="250"/>
      <c r="AT105" s="275" t="s">
        <v>658</v>
      </c>
      <c r="AU105" s="278"/>
    </row>
    <row r="106" s="224" customFormat="1" ht="69" customHeight="1" spans="1:47">
      <c r="A106" s="240">
        <f t="shared" si="36"/>
        <v>103</v>
      </c>
      <c r="B106" s="256" t="s">
        <v>659</v>
      </c>
      <c r="C106" s="250" t="s">
        <v>267</v>
      </c>
      <c r="D106" s="243" t="s">
        <v>646</v>
      </c>
      <c r="E106" s="279" t="s">
        <v>49</v>
      </c>
      <c r="F106" s="248">
        <v>31</v>
      </c>
      <c r="G106" s="249">
        <v>0</v>
      </c>
      <c r="H106" s="249">
        <v>0.5</v>
      </c>
      <c r="I106" s="249">
        <v>0</v>
      </c>
      <c r="J106" s="249">
        <v>0</v>
      </c>
      <c r="K106" s="249">
        <v>0</v>
      </c>
      <c r="L106" s="249">
        <v>0</v>
      </c>
      <c r="M106" s="249">
        <v>0</v>
      </c>
      <c r="N106" s="249">
        <v>0</v>
      </c>
      <c r="O106" s="251" t="s">
        <v>660</v>
      </c>
      <c r="P106" s="246">
        <v>0</v>
      </c>
      <c r="Q106" s="246">
        <v>0</v>
      </c>
      <c r="R106" s="246">
        <v>0</v>
      </c>
      <c r="S106" s="263"/>
      <c r="T106" s="263"/>
      <c r="U106" s="267">
        <v>2400</v>
      </c>
      <c r="V106" s="265">
        <v>1200</v>
      </c>
      <c r="W106" s="266">
        <v>300</v>
      </c>
      <c r="X106" s="266">
        <v>200</v>
      </c>
      <c r="Y106" s="266">
        <v>200</v>
      </c>
      <c r="Z106" s="266">
        <v>200</v>
      </c>
      <c r="AA106" s="266">
        <v>200</v>
      </c>
      <c r="AB106" s="266">
        <v>100</v>
      </c>
      <c r="AC106" s="266">
        <f t="shared" si="31"/>
        <v>2400</v>
      </c>
      <c r="AD106" s="290">
        <v>1151.12</v>
      </c>
      <c r="AE106" s="291"/>
      <c r="AF106" s="291"/>
      <c r="AG106" s="294">
        <v>0</v>
      </c>
      <c r="AH106" s="294">
        <v>0</v>
      </c>
      <c r="AI106" s="294">
        <v>0</v>
      </c>
      <c r="AJ106" s="71">
        <f t="shared" si="32"/>
        <v>0</v>
      </c>
      <c r="AK106" s="71">
        <f t="shared" si="33"/>
        <v>3551.12</v>
      </c>
      <c r="AL106" s="71">
        <f t="shared" si="25"/>
        <v>0.5</v>
      </c>
      <c r="AM106" s="73">
        <f t="shared" si="20"/>
        <v>38.7096774193548</v>
      </c>
      <c r="AN106" s="73">
        <f t="shared" si="21"/>
        <v>0</v>
      </c>
      <c r="AO106" s="71"/>
      <c r="AP106" s="73"/>
      <c r="AQ106" s="73">
        <f t="shared" si="34"/>
        <v>38.7096774193548</v>
      </c>
      <c r="AR106" s="73">
        <f t="shared" si="35"/>
        <v>3512.41032258065</v>
      </c>
      <c r="AS106" s="250"/>
      <c r="AT106" s="275" t="s">
        <v>661</v>
      </c>
      <c r="AU106" s="278"/>
    </row>
    <row r="107" s="224" customFormat="1" ht="59" customHeight="1" spans="1:47">
      <c r="A107" s="240">
        <f t="shared" si="36"/>
        <v>104</v>
      </c>
      <c r="B107" s="256" t="s">
        <v>662</v>
      </c>
      <c r="C107" s="250" t="s">
        <v>267</v>
      </c>
      <c r="D107" s="243" t="s">
        <v>646</v>
      </c>
      <c r="E107" s="279" t="s">
        <v>49</v>
      </c>
      <c r="F107" s="250">
        <v>31</v>
      </c>
      <c r="G107" s="246">
        <v>0</v>
      </c>
      <c r="H107" s="246">
        <v>0</v>
      </c>
      <c r="I107" s="246">
        <v>0</v>
      </c>
      <c r="J107" s="246">
        <v>0</v>
      </c>
      <c r="K107" s="246">
        <v>0</v>
      </c>
      <c r="L107" s="246">
        <v>0</v>
      </c>
      <c r="M107" s="246">
        <v>0</v>
      </c>
      <c r="N107" s="246">
        <v>0</v>
      </c>
      <c r="O107" s="251" t="s">
        <v>663</v>
      </c>
      <c r="P107" s="246">
        <v>0</v>
      </c>
      <c r="Q107" s="246">
        <v>0</v>
      </c>
      <c r="R107" s="246">
        <v>0</v>
      </c>
      <c r="S107" s="263"/>
      <c r="T107" s="263"/>
      <c r="U107" s="267">
        <v>2400</v>
      </c>
      <c r="V107" s="265">
        <v>1200</v>
      </c>
      <c r="W107" s="266">
        <v>300</v>
      </c>
      <c r="X107" s="266">
        <v>200</v>
      </c>
      <c r="Y107" s="266">
        <v>200</v>
      </c>
      <c r="Z107" s="266">
        <v>200</v>
      </c>
      <c r="AA107" s="266">
        <v>200</v>
      </c>
      <c r="AB107" s="266">
        <v>100</v>
      </c>
      <c r="AC107" s="266">
        <f t="shared" si="31"/>
        <v>2400</v>
      </c>
      <c r="AD107" s="290">
        <v>790</v>
      </c>
      <c r="AE107" s="291"/>
      <c r="AF107" s="291"/>
      <c r="AG107" s="294">
        <v>0</v>
      </c>
      <c r="AH107" s="294">
        <v>0</v>
      </c>
      <c r="AI107" s="294">
        <v>0</v>
      </c>
      <c r="AJ107" s="71">
        <f t="shared" si="32"/>
        <v>0</v>
      </c>
      <c r="AK107" s="71">
        <f t="shared" si="33"/>
        <v>3190</v>
      </c>
      <c r="AL107" s="71">
        <f t="shared" si="25"/>
        <v>0</v>
      </c>
      <c r="AM107" s="73">
        <f t="shared" si="20"/>
        <v>0</v>
      </c>
      <c r="AN107" s="73">
        <f t="shared" si="21"/>
        <v>0</v>
      </c>
      <c r="AO107" s="71"/>
      <c r="AP107" s="73"/>
      <c r="AQ107" s="73">
        <f t="shared" si="34"/>
        <v>0</v>
      </c>
      <c r="AR107" s="73">
        <f t="shared" si="35"/>
        <v>3190</v>
      </c>
      <c r="AS107" s="250"/>
      <c r="AT107" s="275" t="s">
        <v>663</v>
      </c>
      <c r="AU107" s="278"/>
    </row>
    <row r="108" s="224" customFormat="1" ht="93" customHeight="1" spans="1:47">
      <c r="A108" s="240">
        <f t="shared" si="36"/>
        <v>105</v>
      </c>
      <c r="B108" s="256" t="s">
        <v>664</v>
      </c>
      <c r="C108" s="250" t="s">
        <v>267</v>
      </c>
      <c r="D108" s="243" t="s">
        <v>646</v>
      </c>
      <c r="E108" s="279" t="s">
        <v>49</v>
      </c>
      <c r="F108" s="248">
        <v>31</v>
      </c>
      <c r="G108" s="249">
        <v>0</v>
      </c>
      <c r="H108" s="249">
        <v>0</v>
      </c>
      <c r="I108" s="249">
        <v>0</v>
      </c>
      <c r="J108" s="249">
        <v>0</v>
      </c>
      <c r="K108" s="249">
        <v>0</v>
      </c>
      <c r="L108" s="249">
        <v>0</v>
      </c>
      <c r="M108" s="249">
        <v>0</v>
      </c>
      <c r="N108" s="249">
        <v>0</v>
      </c>
      <c r="O108" s="251" t="s">
        <v>665</v>
      </c>
      <c r="P108" s="246">
        <v>0</v>
      </c>
      <c r="Q108" s="246">
        <v>0</v>
      </c>
      <c r="R108" s="246">
        <v>0</v>
      </c>
      <c r="S108" s="263"/>
      <c r="T108" s="263"/>
      <c r="U108" s="267" t="s">
        <v>666</v>
      </c>
      <c r="V108" s="265">
        <f>2400/31*18+2300/31*13</f>
        <v>2358.06451612903</v>
      </c>
      <c r="W108" s="266">
        <v>0</v>
      </c>
      <c r="X108" s="266">
        <v>0</v>
      </c>
      <c r="Y108" s="266">
        <v>0</v>
      </c>
      <c r="Z108" s="266">
        <v>0</v>
      </c>
      <c r="AA108" s="266">
        <v>0</v>
      </c>
      <c r="AB108" s="266">
        <v>0</v>
      </c>
      <c r="AC108" s="266">
        <f t="shared" si="31"/>
        <v>2358.06451612903</v>
      </c>
      <c r="AD108" s="290">
        <v>400.64</v>
      </c>
      <c r="AE108" s="291"/>
      <c r="AF108" s="291"/>
      <c r="AG108" s="294">
        <v>0</v>
      </c>
      <c r="AH108" s="294">
        <v>0</v>
      </c>
      <c r="AI108" s="294">
        <v>0</v>
      </c>
      <c r="AJ108" s="71">
        <f t="shared" si="32"/>
        <v>0</v>
      </c>
      <c r="AK108" s="71">
        <f t="shared" si="33"/>
        <v>2758.70451612903</v>
      </c>
      <c r="AL108" s="71">
        <f t="shared" si="25"/>
        <v>0</v>
      </c>
      <c r="AM108" s="73">
        <f t="shared" si="20"/>
        <v>0</v>
      </c>
      <c r="AN108" s="73">
        <f t="shared" si="21"/>
        <v>0</v>
      </c>
      <c r="AO108" s="71"/>
      <c r="AP108" s="73"/>
      <c r="AQ108" s="73">
        <f t="shared" si="34"/>
        <v>0</v>
      </c>
      <c r="AR108" s="73">
        <f t="shared" si="35"/>
        <v>2758.70451612903</v>
      </c>
      <c r="AS108" s="250"/>
      <c r="AT108" s="275" t="s">
        <v>667</v>
      </c>
      <c r="AU108" s="278"/>
    </row>
    <row r="109" s="224" customFormat="1" ht="60" customHeight="1" spans="1:47">
      <c r="A109" s="240">
        <f t="shared" si="36"/>
        <v>106</v>
      </c>
      <c r="B109" s="256" t="s">
        <v>668</v>
      </c>
      <c r="C109" s="250" t="s">
        <v>267</v>
      </c>
      <c r="D109" s="243" t="s">
        <v>669</v>
      </c>
      <c r="E109" s="279" t="s">
        <v>49</v>
      </c>
      <c r="F109" s="250">
        <v>31</v>
      </c>
      <c r="G109" s="246">
        <v>0</v>
      </c>
      <c r="H109" s="246">
        <v>0</v>
      </c>
      <c r="I109" s="246">
        <v>0</v>
      </c>
      <c r="J109" s="246">
        <v>0</v>
      </c>
      <c r="K109" s="246">
        <v>0</v>
      </c>
      <c r="L109" s="246">
        <v>0</v>
      </c>
      <c r="M109" s="246">
        <v>0</v>
      </c>
      <c r="N109" s="246">
        <v>0</v>
      </c>
      <c r="O109" s="251" t="s">
        <v>670</v>
      </c>
      <c r="P109" s="246">
        <v>0</v>
      </c>
      <c r="Q109" s="246">
        <v>0</v>
      </c>
      <c r="R109" s="246">
        <v>0</v>
      </c>
      <c r="S109" s="263"/>
      <c r="T109" s="263">
        <v>100</v>
      </c>
      <c r="U109" s="267">
        <v>2400</v>
      </c>
      <c r="V109" s="265">
        <v>1200</v>
      </c>
      <c r="W109" s="266">
        <v>300</v>
      </c>
      <c r="X109" s="266">
        <v>200</v>
      </c>
      <c r="Y109" s="266">
        <v>200</v>
      </c>
      <c r="Z109" s="266">
        <v>200</v>
      </c>
      <c r="AA109" s="266">
        <v>200</v>
      </c>
      <c r="AB109" s="266">
        <v>100</v>
      </c>
      <c r="AC109" s="266">
        <f t="shared" si="31"/>
        <v>2400</v>
      </c>
      <c r="AD109" s="290">
        <v>790</v>
      </c>
      <c r="AE109" s="291"/>
      <c r="AF109" s="291"/>
      <c r="AG109" s="294">
        <v>0</v>
      </c>
      <c r="AH109" s="294">
        <v>0</v>
      </c>
      <c r="AI109" s="294">
        <v>0</v>
      </c>
      <c r="AJ109" s="71">
        <f t="shared" si="32"/>
        <v>100</v>
      </c>
      <c r="AK109" s="71">
        <f t="shared" si="33"/>
        <v>3290</v>
      </c>
      <c r="AL109" s="71">
        <f t="shared" si="25"/>
        <v>0</v>
      </c>
      <c r="AM109" s="73">
        <f t="shared" si="20"/>
        <v>0</v>
      </c>
      <c r="AN109" s="73">
        <f t="shared" si="21"/>
        <v>0</v>
      </c>
      <c r="AO109" s="71"/>
      <c r="AP109" s="73"/>
      <c r="AQ109" s="73">
        <f t="shared" si="34"/>
        <v>0</v>
      </c>
      <c r="AR109" s="73">
        <f t="shared" si="35"/>
        <v>3290</v>
      </c>
      <c r="AS109" s="250"/>
      <c r="AT109" s="275" t="s">
        <v>670</v>
      </c>
      <c r="AU109" s="278"/>
    </row>
    <row r="110" s="224" customFormat="1" ht="62" customHeight="1" spans="1:47">
      <c r="A110" s="240">
        <f t="shared" si="36"/>
        <v>107</v>
      </c>
      <c r="B110" s="256" t="s">
        <v>671</v>
      </c>
      <c r="C110" s="250" t="s">
        <v>267</v>
      </c>
      <c r="D110" s="243" t="s">
        <v>669</v>
      </c>
      <c r="E110" s="279" t="s">
        <v>49</v>
      </c>
      <c r="F110" s="248">
        <v>31</v>
      </c>
      <c r="G110" s="249">
        <v>0</v>
      </c>
      <c r="H110" s="249">
        <v>0</v>
      </c>
      <c r="I110" s="249">
        <v>0</v>
      </c>
      <c r="J110" s="249">
        <v>0</v>
      </c>
      <c r="K110" s="249">
        <v>0</v>
      </c>
      <c r="L110" s="249">
        <v>0</v>
      </c>
      <c r="M110" s="249">
        <v>0</v>
      </c>
      <c r="N110" s="249">
        <v>0</v>
      </c>
      <c r="O110" s="251" t="s">
        <v>672</v>
      </c>
      <c r="P110" s="246">
        <v>0</v>
      </c>
      <c r="Q110" s="246">
        <v>0</v>
      </c>
      <c r="R110" s="246">
        <v>0</v>
      </c>
      <c r="S110" s="263"/>
      <c r="T110" s="263"/>
      <c r="U110" s="267">
        <v>2400</v>
      </c>
      <c r="V110" s="265">
        <v>1200</v>
      </c>
      <c r="W110" s="266">
        <v>300</v>
      </c>
      <c r="X110" s="266">
        <v>200</v>
      </c>
      <c r="Y110" s="266">
        <v>200</v>
      </c>
      <c r="Z110" s="266">
        <v>200</v>
      </c>
      <c r="AA110" s="266">
        <v>200</v>
      </c>
      <c r="AB110" s="266">
        <v>100</v>
      </c>
      <c r="AC110" s="266">
        <f t="shared" si="31"/>
        <v>2400</v>
      </c>
      <c r="AD110" s="290">
        <v>710</v>
      </c>
      <c r="AE110" s="291"/>
      <c r="AF110" s="291"/>
      <c r="AG110" s="294">
        <v>0</v>
      </c>
      <c r="AH110" s="294">
        <v>0</v>
      </c>
      <c r="AI110" s="294">
        <v>0</v>
      </c>
      <c r="AJ110" s="71">
        <f t="shared" si="32"/>
        <v>0</v>
      </c>
      <c r="AK110" s="71">
        <f t="shared" si="33"/>
        <v>3110</v>
      </c>
      <c r="AL110" s="71">
        <f t="shared" si="25"/>
        <v>0</v>
      </c>
      <c r="AM110" s="73">
        <f t="shared" si="20"/>
        <v>0</v>
      </c>
      <c r="AN110" s="73">
        <f t="shared" si="21"/>
        <v>0</v>
      </c>
      <c r="AO110" s="71"/>
      <c r="AP110" s="73"/>
      <c r="AQ110" s="73">
        <f t="shared" si="34"/>
        <v>0</v>
      </c>
      <c r="AR110" s="73">
        <f t="shared" si="35"/>
        <v>3110</v>
      </c>
      <c r="AS110" s="250"/>
      <c r="AT110" s="275" t="s">
        <v>672</v>
      </c>
      <c r="AU110" s="278"/>
    </row>
    <row r="111" s="224" customFormat="1" ht="60" customHeight="1" spans="1:47">
      <c r="A111" s="240">
        <f t="shared" si="36"/>
        <v>108</v>
      </c>
      <c r="B111" s="256" t="s">
        <v>673</v>
      </c>
      <c r="C111" s="250" t="s">
        <v>267</v>
      </c>
      <c r="D111" s="243" t="s">
        <v>641</v>
      </c>
      <c r="E111" s="279" t="s">
        <v>49</v>
      </c>
      <c r="F111" s="250">
        <v>31</v>
      </c>
      <c r="G111" s="246">
        <v>0</v>
      </c>
      <c r="H111" s="249">
        <v>0</v>
      </c>
      <c r="I111" s="246">
        <v>0</v>
      </c>
      <c r="J111" s="246">
        <v>0</v>
      </c>
      <c r="K111" s="246">
        <v>0</v>
      </c>
      <c r="L111" s="246">
        <v>0</v>
      </c>
      <c r="M111" s="246">
        <v>0</v>
      </c>
      <c r="N111" s="246">
        <v>0</v>
      </c>
      <c r="O111" s="251" t="s">
        <v>674</v>
      </c>
      <c r="P111" s="246">
        <v>0</v>
      </c>
      <c r="Q111" s="246">
        <v>0</v>
      </c>
      <c r="R111" s="246">
        <v>0</v>
      </c>
      <c r="S111" s="263"/>
      <c r="T111" s="263"/>
      <c r="U111" s="267">
        <v>2400</v>
      </c>
      <c r="V111" s="265">
        <v>1200</v>
      </c>
      <c r="W111" s="266">
        <v>300</v>
      </c>
      <c r="X111" s="266">
        <v>200</v>
      </c>
      <c r="Y111" s="266">
        <v>200</v>
      </c>
      <c r="Z111" s="266">
        <v>200</v>
      </c>
      <c r="AA111" s="266">
        <v>200</v>
      </c>
      <c r="AB111" s="266">
        <v>100</v>
      </c>
      <c r="AC111" s="266">
        <f t="shared" si="31"/>
        <v>2400</v>
      </c>
      <c r="AD111" s="290">
        <v>1080</v>
      </c>
      <c r="AE111" s="291"/>
      <c r="AF111" s="291"/>
      <c r="AG111" s="294">
        <v>0</v>
      </c>
      <c r="AH111" s="294">
        <v>0</v>
      </c>
      <c r="AI111" s="294">
        <v>0</v>
      </c>
      <c r="AJ111" s="71">
        <f t="shared" si="32"/>
        <v>0</v>
      </c>
      <c r="AK111" s="71">
        <f t="shared" si="33"/>
        <v>3480</v>
      </c>
      <c r="AL111" s="71">
        <f t="shared" si="25"/>
        <v>0</v>
      </c>
      <c r="AM111" s="73">
        <f t="shared" si="20"/>
        <v>0</v>
      </c>
      <c r="AN111" s="73">
        <f t="shared" si="21"/>
        <v>0</v>
      </c>
      <c r="AO111" s="71"/>
      <c r="AP111" s="73"/>
      <c r="AQ111" s="73">
        <f t="shared" si="34"/>
        <v>0</v>
      </c>
      <c r="AR111" s="73">
        <f t="shared" si="35"/>
        <v>3480</v>
      </c>
      <c r="AS111" s="250"/>
      <c r="AT111" s="275" t="s">
        <v>674</v>
      </c>
      <c r="AU111" s="278"/>
    </row>
    <row r="112" s="224" customFormat="1" ht="55" customHeight="1" spans="1:47">
      <c r="A112" s="240">
        <f t="shared" si="36"/>
        <v>109</v>
      </c>
      <c r="B112" s="256" t="s">
        <v>675</v>
      </c>
      <c r="C112" s="250" t="s">
        <v>267</v>
      </c>
      <c r="D112" s="243" t="s">
        <v>516</v>
      </c>
      <c r="E112" s="279" t="s">
        <v>49</v>
      </c>
      <c r="F112" s="248">
        <v>31</v>
      </c>
      <c r="G112" s="249">
        <v>0</v>
      </c>
      <c r="H112" s="249">
        <v>0</v>
      </c>
      <c r="I112" s="249">
        <v>0</v>
      </c>
      <c r="J112" s="249">
        <v>0</v>
      </c>
      <c r="K112" s="249">
        <v>0</v>
      </c>
      <c r="L112" s="249">
        <v>0</v>
      </c>
      <c r="M112" s="249">
        <v>0</v>
      </c>
      <c r="N112" s="249">
        <v>0</v>
      </c>
      <c r="O112" s="251" t="s">
        <v>676</v>
      </c>
      <c r="P112" s="246">
        <v>0</v>
      </c>
      <c r="Q112" s="246">
        <v>0</v>
      </c>
      <c r="R112" s="246">
        <v>0</v>
      </c>
      <c r="S112" s="263"/>
      <c r="T112" s="263"/>
      <c r="U112" s="267">
        <v>2400</v>
      </c>
      <c r="V112" s="265">
        <v>1200</v>
      </c>
      <c r="W112" s="266">
        <v>300</v>
      </c>
      <c r="X112" s="266">
        <v>200</v>
      </c>
      <c r="Y112" s="266">
        <v>200</v>
      </c>
      <c r="Z112" s="266">
        <v>200</v>
      </c>
      <c r="AA112" s="266">
        <v>200</v>
      </c>
      <c r="AB112" s="266">
        <v>100</v>
      </c>
      <c r="AC112" s="266">
        <f t="shared" si="31"/>
        <v>2400</v>
      </c>
      <c r="AD112" s="290">
        <v>1080</v>
      </c>
      <c r="AE112" s="291"/>
      <c r="AF112" s="291"/>
      <c r="AG112" s="294">
        <v>0</v>
      </c>
      <c r="AH112" s="294">
        <v>0</v>
      </c>
      <c r="AI112" s="294">
        <v>0</v>
      </c>
      <c r="AJ112" s="71">
        <f t="shared" si="32"/>
        <v>0</v>
      </c>
      <c r="AK112" s="71">
        <f t="shared" si="33"/>
        <v>3480</v>
      </c>
      <c r="AL112" s="71">
        <f t="shared" si="25"/>
        <v>0</v>
      </c>
      <c r="AM112" s="73">
        <f t="shared" si="20"/>
        <v>0</v>
      </c>
      <c r="AN112" s="73">
        <f t="shared" si="21"/>
        <v>0</v>
      </c>
      <c r="AO112" s="71"/>
      <c r="AP112" s="73"/>
      <c r="AQ112" s="73">
        <f t="shared" si="34"/>
        <v>0</v>
      </c>
      <c r="AR112" s="73">
        <f t="shared" si="35"/>
        <v>3480</v>
      </c>
      <c r="AS112" s="250"/>
      <c r="AT112" s="275" t="s">
        <v>676</v>
      </c>
      <c r="AU112" s="278"/>
    </row>
    <row r="113" s="224" customFormat="1" ht="44" customHeight="1" spans="1:47">
      <c r="A113" s="240">
        <f t="shared" si="36"/>
        <v>110</v>
      </c>
      <c r="B113" s="256" t="s">
        <v>677</v>
      </c>
      <c r="C113" s="250" t="s">
        <v>267</v>
      </c>
      <c r="D113" s="243" t="s">
        <v>516</v>
      </c>
      <c r="E113" s="279" t="s">
        <v>49</v>
      </c>
      <c r="F113" s="250">
        <v>31</v>
      </c>
      <c r="G113" s="249">
        <v>0</v>
      </c>
      <c r="H113" s="249">
        <v>0</v>
      </c>
      <c r="I113" s="249">
        <v>0</v>
      </c>
      <c r="J113" s="249">
        <v>0</v>
      </c>
      <c r="K113" s="249">
        <v>0</v>
      </c>
      <c r="L113" s="249">
        <v>0</v>
      </c>
      <c r="M113" s="249">
        <v>0</v>
      </c>
      <c r="N113" s="249">
        <v>0</v>
      </c>
      <c r="O113" s="251" t="s">
        <v>678</v>
      </c>
      <c r="P113" s="246">
        <v>0</v>
      </c>
      <c r="Q113" s="246">
        <v>0</v>
      </c>
      <c r="R113" s="246">
        <v>0</v>
      </c>
      <c r="S113" s="263"/>
      <c r="T113" s="263"/>
      <c r="U113" s="267">
        <v>2400</v>
      </c>
      <c r="V113" s="265">
        <v>1200</v>
      </c>
      <c r="W113" s="266">
        <v>300</v>
      </c>
      <c r="X113" s="266">
        <v>200</v>
      </c>
      <c r="Y113" s="266">
        <v>200</v>
      </c>
      <c r="Z113" s="266">
        <v>200</v>
      </c>
      <c r="AA113" s="266">
        <v>200</v>
      </c>
      <c r="AB113" s="266">
        <v>100</v>
      </c>
      <c r="AC113" s="266">
        <f t="shared" si="31"/>
        <v>2400</v>
      </c>
      <c r="AD113" s="290">
        <v>720</v>
      </c>
      <c r="AE113" s="291"/>
      <c r="AF113" s="291"/>
      <c r="AG113" s="294">
        <v>0</v>
      </c>
      <c r="AH113" s="294">
        <v>0</v>
      </c>
      <c r="AI113" s="294">
        <v>0</v>
      </c>
      <c r="AJ113" s="71">
        <f t="shared" si="32"/>
        <v>0</v>
      </c>
      <c r="AK113" s="71">
        <f t="shared" si="33"/>
        <v>3120</v>
      </c>
      <c r="AL113" s="71">
        <f t="shared" si="25"/>
        <v>0</v>
      </c>
      <c r="AM113" s="73">
        <f t="shared" si="20"/>
        <v>0</v>
      </c>
      <c r="AN113" s="73">
        <f t="shared" si="21"/>
        <v>0</v>
      </c>
      <c r="AO113" s="71"/>
      <c r="AP113" s="73"/>
      <c r="AQ113" s="73">
        <f t="shared" si="34"/>
        <v>0</v>
      </c>
      <c r="AR113" s="73">
        <f t="shared" si="35"/>
        <v>3120</v>
      </c>
      <c r="AS113" s="250"/>
      <c r="AT113" s="275" t="s">
        <v>678</v>
      </c>
      <c r="AU113" s="278"/>
    </row>
    <row r="114" s="224" customFormat="1" ht="30" customHeight="1" spans="1:47">
      <c r="A114" s="240">
        <f t="shared" si="36"/>
        <v>111</v>
      </c>
      <c r="B114" s="256" t="s">
        <v>679</v>
      </c>
      <c r="C114" s="250" t="s">
        <v>267</v>
      </c>
      <c r="D114" s="243" t="s">
        <v>680</v>
      </c>
      <c r="E114" s="279" t="s">
        <v>49</v>
      </c>
      <c r="F114" s="248">
        <v>31</v>
      </c>
      <c r="G114" s="246">
        <v>0</v>
      </c>
      <c r="H114" s="249">
        <v>0</v>
      </c>
      <c r="I114" s="246">
        <v>0</v>
      </c>
      <c r="J114" s="246">
        <v>0</v>
      </c>
      <c r="K114" s="246">
        <v>0</v>
      </c>
      <c r="L114" s="246">
        <v>0</v>
      </c>
      <c r="M114" s="246">
        <v>0</v>
      </c>
      <c r="N114" s="246">
        <v>0</v>
      </c>
      <c r="O114" s="261" t="s">
        <v>681</v>
      </c>
      <c r="P114" s="246">
        <v>0</v>
      </c>
      <c r="Q114" s="246">
        <v>0</v>
      </c>
      <c r="R114" s="246">
        <v>0</v>
      </c>
      <c r="S114" s="263"/>
      <c r="T114" s="263"/>
      <c r="U114" s="267">
        <v>2400</v>
      </c>
      <c r="V114" s="265">
        <v>1200</v>
      </c>
      <c r="W114" s="266">
        <v>300</v>
      </c>
      <c r="X114" s="266">
        <v>200</v>
      </c>
      <c r="Y114" s="266">
        <v>200</v>
      </c>
      <c r="Z114" s="266">
        <v>200</v>
      </c>
      <c r="AA114" s="266">
        <v>200</v>
      </c>
      <c r="AB114" s="266">
        <v>100</v>
      </c>
      <c r="AC114" s="266">
        <f t="shared" si="31"/>
        <v>2400</v>
      </c>
      <c r="AD114" s="290"/>
      <c r="AE114" s="291"/>
      <c r="AF114" s="291"/>
      <c r="AG114" s="294">
        <v>0</v>
      </c>
      <c r="AH114" s="294">
        <v>0</v>
      </c>
      <c r="AI114" s="294">
        <v>0</v>
      </c>
      <c r="AJ114" s="71">
        <f t="shared" si="32"/>
        <v>0</v>
      </c>
      <c r="AK114" s="71">
        <f t="shared" si="33"/>
        <v>2400</v>
      </c>
      <c r="AL114" s="71">
        <f t="shared" si="25"/>
        <v>0</v>
      </c>
      <c r="AM114" s="73">
        <f t="shared" si="20"/>
        <v>0</v>
      </c>
      <c r="AN114" s="73">
        <f t="shared" si="21"/>
        <v>0</v>
      </c>
      <c r="AO114" s="71"/>
      <c r="AP114" s="73">
        <v>200</v>
      </c>
      <c r="AQ114" s="73">
        <f t="shared" si="34"/>
        <v>200</v>
      </c>
      <c r="AR114" s="73">
        <f t="shared" si="35"/>
        <v>2200</v>
      </c>
      <c r="AS114" s="250"/>
      <c r="AT114" s="275" t="s">
        <v>681</v>
      </c>
      <c r="AU114" s="278"/>
    </row>
    <row r="115" s="224" customFormat="1" ht="57" customHeight="1" spans="1:47">
      <c r="A115" s="240">
        <f t="shared" ref="A115:A124" si="37">ROW()-3</f>
        <v>112</v>
      </c>
      <c r="B115" s="256" t="s">
        <v>682</v>
      </c>
      <c r="C115" s="250" t="s">
        <v>267</v>
      </c>
      <c r="D115" s="243" t="s">
        <v>516</v>
      </c>
      <c r="E115" s="279" t="s">
        <v>49</v>
      </c>
      <c r="F115" s="250">
        <v>31</v>
      </c>
      <c r="G115" s="246">
        <v>0</v>
      </c>
      <c r="H115" s="249">
        <v>0</v>
      </c>
      <c r="I115" s="246">
        <v>0</v>
      </c>
      <c r="J115" s="246">
        <v>0</v>
      </c>
      <c r="K115" s="246">
        <v>0</v>
      </c>
      <c r="L115" s="246">
        <v>0</v>
      </c>
      <c r="M115" s="246">
        <v>0</v>
      </c>
      <c r="N115" s="246">
        <v>0</v>
      </c>
      <c r="O115" s="288" t="s">
        <v>683</v>
      </c>
      <c r="P115" s="246">
        <v>0</v>
      </c>
      <c r="Q115" s="246">
        <v>0</v>
      </c>
      <c r="R115" s="246">
        <v>0</v>
      </c>
      <c r="S115" s="263"/>
      <c r="T115" s="263"/>
      <c r="U115" s="267">
        <v>2400</v>
      </c>
      <c r="V115" s="265">
        <v>1200</v>
      </c>
      <c r="W115" s="266">
        <v>300</v>
      </c>
      <c r="X115" s="266">
        <v>200</v>
      </c>
      <c r="Y115" s="266">
        <v>200</v>
      </c>
      <c r="Z115" s="266">
        <v>200</v>
      </c>
      <c r="AA115" s="266">
        <v>200</v>
      </c>
      <c r="AB115" s="266">
        <v>100</v>
      </c>
      <c r="AC115" s="266">
        <f t="shared" si="31"/>
        <v>2400</v>
      </c>
      <c r="AD115" s="290">
        <v>710</v>
      </c>
      <c r="AE115" s="291"/>
      <c r="AF115" s="291"/>
      <c r="AG115" s="294">
        <v>0</v>
      </c>
      <c r="AH115" s="294">
        <v>0</v>
      </c>
      <c r="AI115" s="294">
        <v>0</v>
      </c>
      <c r="AJ115" s="71">
        <f t="shared" si="32"/>
        <v>0</v>
      </c>
      <c r="AK115" s="71">
        <f t="shared" si="33"/>
        <v>3110</v>
      </c>
      <c r="AL115" s="71">
        <f t="shared" si="25"/>
        <v>0</v>
      </c>
      <c r="AM115" s="73">
        <f t="shared" si="20"/>
        <v>0</v>
      </c>
      <c r="AN115" s="73">
        <f t="shared" si="21"/>
        <v>0</v>
      </c>
      <c r="AO115" s="71"/>
      <c r="AP115" s="73"/>
      <c r="AQ115" s="73">
        <f t="shared" si="34"/>
        <v>0</v>
      </c>
      <c r="AR115" s="73">
        <f t="shared" si="35"/>
        <v>3110</v>
      </c>
      <c r="AS115" s="250"/>
      <c r="AT115" s="275" t="s">
        <v>683</v>
      </c>
      <c r="AU115" s="278"/>
    </row>
    <row r="116" s="224" customFormat="1" ht="51" customHeight="1" spans="1:47">
      <c r="A116" s="240">
        <f t="shared" si="37"/>
        <v>113</v>
      </c>
      <c r="B116" s="256" t="s">
        <v>684</v>
      </c>
      <c r="C116" s="250" t="s">
        <v>267</v>
      </c>
      <c r="D116" s="243" t="s">
        <v>519</v>
      </c>
      <c r="E116" s="279" t="s">
        <v>49</v>
      </c>
      <c r="F116" s="248">
        <v>31</v>
      </c>
      <c r="G116" s="249">
        <v>5</v>
      </c>
      <c r="H116" s="249">
        <v>0</v>
      </c>
      <c r="I116" s="249">
        <v>0</v>
      </c>
      <c r="J116" s="249">
        <v>0</v>
      </c>
      <c r="K116" s="249">
        <v>0</v>
      </c>
      <c r="L116" s="249">
        <v>0</v>
      </c>
      <c r="M116" s="249">
        <v>0</v>
      </c>
      <c r="N116" s="249">
        <v>0</v>
      </c>
      <c r="O116" s="288" t="s">
        <v>685</v>
      </c>
      <c r="P116" s="246">
        <v>0</v>
      </c>
      <c r="Q116" s="246">
        <v>0</v>
      </c>
      <c r="R116" s="246">
        <v>0</v>
      </c>
      <c r="S116" s="263"/>
      <c r="T116" s="263"/>
      <c r="U116" s="267">
        <v>2400</v>
      </c>
      <c r="V116" s="265">
        <v>1200</v>
      </c>
      <c r="W116" s="266">
        <v>300</v>
      </c>
      <c r="X116" s="266">
        <v>200</v>
      </c>
      <c r="Y116" s="266">
        <v>200</v>
      </c>
      <c r="Z116" s="266">
        <v>200</v>
      </c>
      <c r="AA116" s="266">
        <v>200</v>
      </c>
      <c r="AB116" s="266">
        <v>100</v>
      </c>
      <c r="AC116" s="266">
        <f t="shared" si="31"/>
        <v>2400</v>
      </c>
      <c r="AD116" s="290">
        <v>400</v>
      </c>
      <c r="AE116" s="291"/>
      <c r="AF116" s="291"/>
      <c r="AG116" s="294">
        <v>0</v>
      </c>
      <c r="AH116" s="294">
        <v>0</v>
      </c>
      <c r="AI116" s="294">
        <v>0</v>
      </c>
      <c r="AJ116" s="71">
        <f t="shared" si="32"/>
        <v>0</v>
      </c>
      <c r="AK116" s="71">
        <f t="shared" si="33"/>
        <v>2800</v>
      </c>
      <c r="AL116" s="71">
        <f t="shared" si="25"/>
        <v>0</v>
      </c>
      <c r="AM116" s="73">
        <f t="shared" si="20"/>
        <v>0</v>
      </c>
      <c r="AN116" s="73">
        <f t="shared" si="21"/>
        <v>10</v>
      </c>
      <c r="AO116" s="71"/>
      <c r="AP116" s="73"/>
      <c r="AQ116" s="73">
        <f t="shared" si="34"/>
        <v>10</v>
      </c>
      <c r="AR116" s="73">
        <f t="shared" si="35"/>
        <v>2790</v>
      </c>
      <c r="AS116" s="250"/>
      <c r="AT116" s="275" t="s">
        <v>685</v>
      </c>
      <c r="AU116" s="278"/>
    </row>
    <row r="117" s="224" customFormat="1" ht="54" customHeight="1" spans="1:47">
      <c r="A117" s="240">
        <f t="shared" si="37"/>
        <v>114</v>
      </c>
      <c r="B117" s="256" t="s">
        <v>686</v>
      </c>
      <c r="C117" s="250" t="s">
        <v>267</v>
      </c>
      <c r="D117" s="243" t="s">
        <v>687</v>
      </c>
      <c r="E117" s="279" t="s">
        <v>49</v>
      </c>
      <c r="F117" s="250">
        <v>31</v>
      </c>
      <c r="G117" s="249">
        <v>5</v>
      </c>
      <c r="H117" s="249">
        <v>0</v>
      </c>
      <c r="I117" s="249">
        <v>0</v>
      </c>
      <c r="J117" s="249">
        <v>0</v>
      </c>
      <c r="K117" s="249">
        <v>0</v>
      </c>
      <c r="L117" s="249">
        <v>0</v>
      </c>
      <c r="M117" s="249">
        <v>0</v>
      </c>
      <c r="N117" s="249">
        <v>0</v>
      </c>
      <c r="O117" s="288" t="s">
        <v>688</v>
      </c>
      <c r="P117" s="246">
        <v>0</v>
      </c>
      <c r="Q117" s="246">
        <v>0</v>
      </c>
      <c r="R117" s="246">
        <v>0</v>
      </c>
      <c r="S117" s="263"/>
      <c r="T117" s="263"/>
      <c r="U117" s="267">
        <v>2400</v>
      </c>
      <c r="V117" s="265">
        <v>1200</v>
      </c>
      <c r="W117" s="266">
        <v>300</v>
      </c>
      <c r="X117" s="266">
        <v>200</v>
      </c>
      <c r="Y117" s="266">
        <v>200</v>
      </c>
      <c r="Z117" s="266">
        <v>200</v>
      </c>
      <c r="AA117" s="266">
        <v>200</v>
      </c>
      <c r="AB117" s="266">
        <v>100</v>
      </c>
      <c r="AC117" s="266">
        <f t="shared" si="31"/>
        <v>2400</v>
      </c>
      <c r="AD117" s="290">
        <v>530</v>
      </c>
      <c r="AE117" s="291"/>
      <c r="AF117" s="291"/>
      <c r="AG117" s="294">
        <v>0</v>
      </c>
      <c r="AH117" s="294">
        <v>0</v>
      </c>
      <c r="AI117" s="294">
        <v>0</v>
      </c>
      <c r="AJ117" s="71">
        <f t="shared" si="32"/>
        <v>0</v>
      </c>
      <c r="AK117" s="71">
        <f t="shared" si="33"/>
        <v>2930</v>
      </c>
      <c r="AL117" s="71">
        <f t="shared" si="25"/>
        <v>0</v>
      </c>
      <c r="AM117" s="73">
        <f t="shared" si="20"/>
        <v>0</v>
      </c>
      <c r="AN117" s="73">
        <f t="shared" si="21"/>
        <v>10</v>
      </c>
      <c r="AO117" s="71"/>
      <c r="AP117" s="73"/>
      <c r="AQ117" s="73">
        <f t="shared" si="34"/>
        <v>10</v>
      </c>
      <c r="AR117" s="73">
        <f t="shared" si="35"/>
        <v>2920</v>
      </c>
      <c r="AS117" s="250"/>
      <c r="AT117" s="275" t="s">
        <v>688</v>
      </c>
      <c r="AU117" s="278"/>
    </row>
    <row r="118" s="224" customFormat="1" ht="58" customHeight="1" spans="1:47">
      <c r="A118" s="240">
        <f t="shared" si="37"/>
        <v>115</v>
      </c>
      <c r="B118" s="256" t="s">
        <v>689</v>
      </c>
      <c r="C118" s="250" t="s">
        <v>267</v>
      </c>
      <c r="D118" s="243" t="s">
        <v>425</v>
      </c>
      <c r="E118" s="279" t="s">
        <v>49</v>
      </c>
      <c r="F118" s="248">
        <v>31</v>
      </c>
      <c r="G118" s="246">
        <v>0</v>
      </c>
      <c r="H118" s="249">
        <v>0</v>
      </c>
      <c r="I118" s="246">
        <v>0</v>
      </c>
      <c r="J118" s="246">
        <v>0</v>
      </c>
      <c r="K118" s="246">
        <v>0</v>
      </c>
      <c r="L118" s="246">
        <v>0</v>
      </c>
      <c r="M118" s="246">
        <v>0</v>
      </c>
      <c r="N118" s="246">
        <v>0</v>
      </c>
      <c r="O118" s="288" t="s">
        <v>690</v>
      </c>
      <c r="P118" s="246">
        <v>0</v>
      </c>
      <c r="Q118" s="246">
        <v>0</v>
      </c>
      <c r="R118" s="246">
        <v>0</v>
      </c>
      <c r="S118" s="263"/>
      <c r="T118" s="263"/>
      <c r="U118" s="267">
        <v>2400</v>
      </c>
      <c r="V118" s="265">
        <v>1200</v>
      </c>
      <c r="W118" s="266">
        <v>300</v>
      </c>
      <c r="X118" s="266">
        <v>200</v>
      </c>
      <c r="Y118" s="266">
        <v>200</v>
      </c>
      <c r="Z118" s="266">
        <v>200</v>
      </c>
      <c r="AA118" s="266">
        <v>200</v>
      </c>
      <c r="AB118" s="266">
        <v>100</v>
      </c>
      <c r="AC118" s="266">
        <f t="shared" si="31"/>
        <v>2400</v>
      </c>
      <c r="AD118" s="290">
        <v>640</v>
      </c>
      <c r="AE118" s="291"/>
      <c r="AF118" s="291"/>
      <c r="AG118" s="294">
        <v>0</v>
      </c>
      <c r="AH118" s="294">
        <v>0</v>
      </c>
      <c r="AI118" s="294">
        <v>0</v>
      </c>
      <c r="AJ118" s="71">
        <f t="shared" si="32"/>
        <v>0</v>
      </c>
      <c r="AK118" s="71">
        <f t="shared" si="33"/>
        <v>3040</v>
      </c>
      <c r="AL118" s="71">
        <f t="shared" si="25"/>
        <v>0</v>
      </c>
      <c r="AM118" s="73">
        <f t="shared" si="20"/>
        <v>0</v>
      </c>
      <c r="AN118" s="73">
        <f t="shared" si="21"/>
        <v>0</v>
      </c>
      <c r="AO118" s="71"/>
      <c r="AP118" s="73"/>
      <c r="AQ118" s="73">
        <f t="shared" si="34"/>
        <v>0</v>
      </c>
      <c r="AR118" s="73">
        <f t="shared" si="35"/>
        <v>3040</v>
      </c>
      <c r="AS118" s="250"/>
      <c r="AT118" s="275" t="s">
        <v>690</v>
      </c>
      <c r="AU118" s="278"/>
    </row>
    <row r="119" s="224" customFormat="1" ht="60" customHeight="1" spans="1:47">
      <c r="A119" s="240">
        <f t="shared" si="37"/>
        <v>116</v>
      </c>
      <c r="B119" s="256" t="s">
        <v>691</v>
      </c>
      <c r="C119" s="250" t="s">
        <v>267</v>
      </c>
      <c r="D119" s="243" t="s">
        <v>328</v>
      </c>
      <c r="E119" s="279" t="s">
        <v>49</v>
      </c>
      <c r="F119" s="248">
        <v>31</v>
      </c>
      <c r="G119" s="246">
        <v>0</v>
      </c>
      <c r="H119" s="249">
        <v>0</v>
      </c>
      <c r="I119" s="246">
        <v>0</v>
      </c>
      <c r="J119" s="246">
        <v>0</v>
      </c>
      <c r="K119" s="246">
        <v>0</v>
      </c>
      <c r="L119" s="246">
        <v>0</v>
      </c>
      <c r="M119" s="246">
        <v>0</v>
      </c>
      <c r="N119" s="246">
        <v>0</v>
      </c>
      <c r="O119" s="288" t="s">
        <v>692</v>
      </c>
      <c r="P119" s="246">
        <v>0</v>
      </c>
      <c r="Q119" s="246">
        <v>0</v>
      </c>
      <c r="R119" s="246">
        <v>0</v>
      </c>
      <c r="S119" s="263"/>
      <c r="T119" s="263"/>
      <c r="U119" s="267">
        <v>2400</v>
      </c>
      <c r="V119" s="265">
        <v>1200</v>
      </c>
      <c r="W119" s="266">
        <v>300</v>
      </c>
      <c r="X119" s="266">
        <v>200</v>
      </c>
      <c r="Y119" s="266">
        <v>200</v>
      </c>
      <c r="Z119" s="266">
        <v>200</v>
      </c>
      <c r="AA119" s="266">
        <v>200</v>
      </c>
      <c r="AB119" s="266">
        <v>100</v>
      </c>
      <c r="AC119" s="266">
        <f t="shared" si="31"/>
        <v>2400</v>
      </c>
      <c r="AD119" s="290">
        <v>330</v>
      </c>
      <c r="AE119" s="291"/>
      <c r="AF119" s="291"/>
      <c r="AG119" s="294">
        <v>0</v>
      </c>
      <c r="AH119" s="294">
        <v>0</v>
      </c>
      <c r="AI119" s="294">
        <v>0</v>
      </c>
      <c r="AJ119" s="71">
        <f t="shared" si="32"/>
        <v>0</v>
      </c>
      <c r="AK119" s="71">
        <f t="shared" si="33"/>
        <v>2730</v>
      </c>
      <c r="AL119" s="71">
        <f t="shared" si="25"/>
        <v>0</v>
      </c>
      <c r="AM119" s="73">
        <f t="shared" si="20"/>
        <v>0</v>
      </c>
      <c r="AN119" s="73">
        <f t="shared" si="21"/>
        <v>0</v>
      </c>
      <c r="AO119" s="71"/>
      <c r="AP119" s="73"/>
      <c r="AQ119" s="73">
        <f t="shared" si="34"/>
        <v>0</v>
      </c>
      <c r="AR119" s="73">
        <f t="shared" si="35"/>
        <v>2730</v>
      </c>
      <c r="AS119" s="250"/>
      <c r="AT119" s="275" t="s">
        <v>692</v>
      </c>
      <c r="AU119" s="278"/>
    </row>
    <row r="120" s="224" customFormat="1" ht="53" customHeight="1" spans="1:47">
      <c r="A120" s="240">
        <f t="shared" si="37"/>
        <v>117</v>
      </c>
      <c r="B120" s="256" t="s">
        <v>693</v>
      </c>
      <c r="C120" s="250" t="s">
        <v>267</v>
      </c>
      <c r="D120" s="243" t="s">
        <v>330</v>
      </c>
      <c r="E120" s="279" t="s">
        <v>49</v>
      </c>
      <c r="F120" s="250">
        <v>31</v>
      </c>
      <c r="G120" s="249">
        <v>0</v>
      </c>
      <c r="H120" s="249">
        <v>0</v>
      </c>
      <c r="I120" s="249">
        <v>0</v>
      </c>
      <c r="J120" s="249">
        <v>0</v>
      </c>
      <c r="K120" s="249">
        <v>0</v>
      </c>
      <c r="L120" s="249">
        <v>0</v>
      </c>
      <c r="M120" s="249">
        <v>0</v>
      </c>
      <c r="N120" s="249">
        <v>0</v>
      </c>
      <c r="O120" s="288" t="s">
        <v>694</v>
      </c>
      <c r="P120" s="246">
        <v>0</v>
      </c>
      <c r="Q120" s="246">
        <v>0</v>
      </c>
      <c r="R120" s="246">
        <v>0</v>
      </c>
      <c r="S120" s="263"/>
      <c r="T120" s="263">
        <v>100</v>
      </c>
      <c r="U120" s="267">
        <v>2400</v>
      </c>
      <c r="V120" s="265">
        <v>1200</v>
      </c>
      <c r="W120" s="266">
        <v>300</v>
      </c>
      <c r="X120" s="266">
        <v>200</v>
      </c>
      <c r="Y120" s="266">
        <v>200</v>
      </c>
      <c r="Z120" s="266">
        <v>200</v>
      </c>
      <c r="AA120" s="266">
        <v>200</v>
      </c>
      <c r="AB120" s="266">
        <v>100</v>
      </c>
      <c r="AC120" s="266">
        <f t="shared" si="31"/>
        <v>2400</v>
      </c>
      <c r="AD120" s="290">
        <v>790</v>
      </c>
      <c r="AE120" s="291"/>
      <c r="AF120" s="291"/>
      <c r="AG120" s="294">
        <v>0</v>
      </c>
      <c r="AH120" s="294">
        <v>0</v>
      </c>
      <c r="AI120" s="294">
        <v>0</v>
      </c>
      <c r="AJ120" s="71">
        <f t="shared" si="32"/>
        <v>100</v>
      </c>
      <c r="AK120" s="71">
        <f t="shared" si="33"/>
        <v>3290</v>
      </c>
      <c r="AL120" s="71">
        <f t="shared" si="25"/>
        <v>0</v>
      </c>
      <c r="AM120" s="73">
        <f t="shared" si="20"/>
        <v>0</v>
      </c>
      <c r="AN120" s="73">
        <f t="shared" si="21"/>
        <v>0</v>
      </c>
      <c r="AO120" s="71"/>
      <c r="AP120" s="73"/>
      <c r="AQ120" s="73">
        <f t="shared" si="34"/>
        <v>0</v>
      </c>
      <c r="AR120" s="73">
        <f t="shared" si="35"/>
        <v>3290</v>
      </c>
      <c r="AS120" s="250"/>
      <c r="AT120" s="275" t="s">
        <v>694</v>
      </c>
      <c r="AU120" s="278"/>
    </row>
    <row r="121" s="224" customFormat="1" ht="30" customHeight="1" spans="1:47">
      <c r="A121" s="240">
        <f t="shared" si="37"/>
        <v>118</v>
      </c>
      <c r="B121" s="283" t="s">
        <v>695</v>
      </c>
      <c r="C121" s="284" t="s">
        <v>267</v>
      </c>
      <c r="D121" s="285" t="s">
        <v>696</v>
      </c>
      <c r="E121" s="279" t="s">
        <v>49</v>
      </c>
      <c r="F121" s="245">
        <v>31</v>
      </c>
      <c r="G121" s="286">
        <v>0</v>
      </c>
      <c r="H121" s="286">
        <v>0</v>
      </c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9" t="s">
        <v>254</v>
      </c>
      <c r="P121" s="246">
        <v>0</v>
      </c>
      <c r="Q121" s="246">
        <v>0</v>
      </c>
      <c r="R121" s="246">
        <v>0</v>
      </c>
      <c r="S121" s="263"/>
      <c r="T121" s="263"/>
      <c r="U121" s="267">
        <v>2300</v>
      </c>
      <c r="V121" s="265">
        <v>1100</v>
      </c>
      <c r="W121" s="266">
        <v>300</v>
      </c>
      <c r="X121" s="266">
        <v>200</v>
      </c>
      <c r="Y121" s="266">
        <v>200</v>
      </c>
      <c r="Z121" s="266">
        <v>200</v>
      </c>
      <c r="AA121" s="266">
        <v>200</v>
      </c>
      <c r="AB121" s="266">
        <v>100</v>
      </c>
      <c r="AC121" s="266">
        <f t="shared" si="31"/>
        <v>2300</v>
      </c>
      <c r="AD121" s="290"/>
      <c r="AE121" s="291"/>
      <c r="AF121" s="291"/>
      <c r="AG121" s="294">
        <v>0</v>
      </c>
      <c r="AH121" s="294">
        <v>0</v>
      </c>
      <c r="AI121" s="294">
        <v>0</v>
      </c>
      <c r="AJ121" s="71">
        <f t="shared" si="32"/>
        <v>0</v>
      </c>
      <c r="AK121" s="71">
        <f t="shared" si="33"/>
        <v>2300</v>
      </c>
      <c r="AL121" s="71">
        <f t="shared" si="25"/>
        <v>0</v>
      </c>
      <c r="AM121" s="73">
        <f t="shared" si="20"/>
        <v>0</v>
      </c>
      <c r="AN121" s="73">
        <f t="shared" si="21"/>
        <v>0</v>
      </c>
      <c r="AO121" s="71"/>
      <c r="AP121" s="73"/>
      <c r="AQ121" s="73">
        <f t="shared" si="34"/>
        <v>0</v>
      </c>
      <c r="AR121" s="73">
        <f t="shared" si="35"/>
        <v>2300</v>
      </c>
      <c r="AS121" s="296"/>
      <c r="AT121" s="275" t="s">
        <v>254</v>
      </c>
      <c r="AU121" s="278"/>
    </row>
    <row r="122" s="224" customFormat="1" ht="30" customHeight="1" spans="1:47">
      <c r="A122" s="240">
        <f t="shared" si="37"/>
        <v>119</v>
      </c>
      <c r="B122" s="256" t="s">
        <v>697</v>
      </c>
      <c r="C122" s="242" t="s">
        <v>267</v>
      </c>
      <c r="D122" s="243" t="s">
        <v>698</v>
      </c>
      <c r="E122" s="279" t="s">
        <v>49</v>
      </c>
      <c r="F122" s="245">
        <v>31</v>
      </c>
      <c r="G122" s="249">
        <v>0</v>
      </c>
      <c r="H122" s="249">
        <v>0</v>
      </c>
      <c r="I122" s="249">
        <v>0</v>
      </c>
      <c r="J122" s="249">
        <v>0</v>
      </c>
      <c r="K122" s="249">
        <v>0</v>
      </c>
      <c r="L122" s="249">
        <v>0</v>
      </c>
      <c r="M122" s="249">
        <v>0</v>
      </c>
      <c r="N122" s="249">
        <v>0</v>
      </c>
      <c r="O122" s="251" t="s">
        <v>254</v>
      </c>
      <c r="P122" s="246">
        <v>0</v>
      </c>
      <c r="Q122" s="246">
        <v>0</v>
      </c>
      <c r="R122" s="246">
        <v>0</v>
      </c>
      <c r="S122" s="263"/>
      <c r="T122" s="263"/>
      <c r="U122" s="267">
        <v>2300</v>
      </c>
      <c r="V122" s="265">
        <v>1100</v>
      </c>
      <c r="W122" s="266">
        <v>300</v>
      </c>
      <c r="X122" s="266">
        <v>200</v>
      </c>
      <c r="Y122" s="266">
        <v>200</v>
      </c>
      <c r="Z122" s="266">
        <v>200</v>
      </c>
      <c r="AA122" s="266">
        <v>200</v>
      </c>
      <c r="AB122" s="266">
        <v>100</v>
      </c>
      <c r="AC122" s="266">
        <f t="shared" si="31"/>
        <v>2300</v>
      </c>
      <c r="AD122" s="290"/>
      <c r="AE122" s="291"/>
      <c r="AF122" s="291"/>
      <c r="AG122" s="294">
        <v>0</v>
      </c>
      <c r="AH122" s="294">
        <v>0</v>
      </c>
      <c r="AI122" s="294">
        <v>0</v>
      </c>
      <c r="AJ122" s="71">
        <f t="shared" si="32"/>
        <v>0</v>
      </c>
      <c r="AK122" s="71">
        <f t="shared" si="33"/>
        <v>2300</v>
      </c>
      <c r="AL122" s="71">
        <f t="shared" si="25"/>
        <v>0</v>
      </c>
      <c r="AM122" s="73">
        <f t="shared" si="20"/>
        <v>0</v>
      </c>
      <c r="AN122" s="73">
        <f t="shared" si="21"/>
        <v>0</v>
      </c>
      <c r="AO122" s="71"/>
      <c r="AP122" s="73"/>
      <c r="AQ122" s="73">
        <f t="shared" si="34"/>
        <v>0</v>
      </c>
      <c r="AR122" s="73">
        <f t="shared" si="35"/>
        <v>2300</v>
      </c>
      <c r="AS122" s="250"/>
      <c r="AT122" s="275" t="s">
        <v>254</v>
      </c>
      <c r="AU122" s="278"/>
    </row>
    <row r="123" s="224" customFormat="1" ht="30" customHeight="1" spans="1:47">
      <c r="A123" s="240">
        <f t="shared" si="37"/>
        <v>120</v>
      </c>
      <c r="B123" s="256" t="s">
        <v>699</v>
      </c>
      <c r="C123" s="242" t="s">
        <v>273</v>
      </c>
      <c r="D123" s="243" t="s">
        <v>700</v>
      </c>
      <c r="E123" s="279" t="s">
        <v>49</v>
      </c>
      <c r="F123" s="245">
        <v>31</v>
      </c>
      <c r="G123" s="249">
        <v>0</v>
      </c>
      <c r="H123" s="249">
        <v>0</v>
      </c>
      <c r="I123" s="249">
        <v>0</v>
      </c>
      <c r="J123" s="249">
        <v>0</v>
      </c>
      <c r="K123" s="249">
        <v>0</v>
      </c>
      <c r="L123" s="249">
        <v>0</v>
      </c>
      <c r="M123" s="249">
        <v>0</v>
      </c>
      <c r="N123" s="249">
        <v>0</v>
      </c>
      <c r="O123" s="251" t="s">
        <v>701</v>
      </c>
      <c r="P123" s="246">
        <v>0</v>
      </c>
      <c r="Q123" s="246">
        <v>0</v>
      </c>
      <c r="R123" s="246">
        <v>0</v>
      </c>
      <c r="S123" s="263"/>
      <c r="T123" s="263"/>
      <c r="U123" s="267">
        <v>1700</v>
      </c>
      <c r="V123" s="265">
        <v>1000</v>
      </c>
      <c r="W123" s="266">
        <v>200</v>
      </c>
      <c r="X123" s="266">
        <v>100</v>
      </c>
      <c r="Y123" s="266">
        <v>100</v>
      </c>
      <c r="Z123" s="266">
        <v>100</v>
      </c>
      <c r="AA123" s="266">
        <v>100</v>
      </c>
      <c r="AB123" s="266">
        <v>100</v>
      </c>
      <c r="AC123" s="266">
        <f t="shared" si="31"/>
        <v>1700</v>
      </c>
      <c r="AD123" s="290">
        <v>164.51</v>
      </c>
      <c r="AE123" s="291"/>
      <c r="AF123" s="291"/>
      <c r="AG123" s="294">
        <v>0</v>
      </c>
      <c r="AH123" s="294">
        <v>0</v>
      </c>
      <c r="AI123" s="294">
        <v>0</v>
      </c>
      <c r="AJ123" s="71">
        <f t="shared" si="32"/>
        <v>0</v>
      </c>
      <c r="AK123" s="71">
        <f t="shared" si="33"/>
        <v>1864.51</v>
      </c>
      <c r="AL123" s="71">
        <f t="shared" si="25"/>
        <v>0</v>
      </c>
      <c r="AM123" s="73">
        <f t="shared" si="20"/>
        <v>0</v>
      </c>
      <c r="AN123" s="73">
        <f t="shared" si="21"/>
        <v>0</v>
      </c>
      <c r="AO123" s="71"/>
      <c r="AP123" s="73"/>
      <c r="AQ123" s="73">
        <f t="shared" si="34"/>
        <v>0</v>
      </c>
      <c r="AR123" s="73">
        <f t="shared" si="35"/>
        <v>1864.51</v>
      </c>
      <c r="AS123" s="250"/>
      <c r="AT123" s="275" t="s">
        <v>702</v>
      </c>
      <c r="AU123" s="278"/>
    </row>
    <row r="124" s="224" customFormat="1" ht="30" customHeight="1" spans="1:47">
      <c r="A124" s="240">
        <f t="shared" si="37"/>
        <v>121</v>
      </c>
      <c r="B124" s="256" t="s">
        <v>213</v>
      </c>
      <c r="C124" s="250" t="s">
        <v>273</v>
      </c>
      <c r="D124" s="243" t="s">
        <v>703</v>
      </c>
      <c r="E124" s="279" t="s">
        <v>49</v>
      </c>
      <c r="F124" s="248">
        <v>31</v>
      </c>
      <c r="G124" s="249">
        <v>0</v>
      </c>
      <c r="H124" s="249">
        <v>0</v>
      </c>
      <c r="I124" s="249">
        <v>0</v>
      </c>
      <c r="J124" s="249">
        <v>0</v>
      </c>
      <c r="K124" s="249">
        <v>0</v>
      </c>
      <c r="L124" s="249">
        <v>0</v>
      </c>
      <c r="M124" s="249">
        <v>0</v>
      </c>
      <c r="N124" s="249">
        <v>0</v>
      </c>
      <c r="O124" s="251" t="s">
        <v>254</v>
      </c>
      <c r="P124" s="246">
        <v>0</v>
      </c>
      <c r="Q124" s="246">
        <v>0</v>
      </c>
      <c r="R124" s="246">
        <v>0</v>
      </c>
      <c r="S124" s="263"/>
      <c r="T124" s="263"/>
      <c r="U124" s="267">
        <v>1600</v>
      </c>
      <c r="V124" s="265">
        <v>900</v>
      </c>
      <c r="W124" s="266">
        <v>200</v>
      </c>
      <c r="X124" s="266">
        <v>100</v>
      </c>
      <c r="Y124" s="266">
        <v>100</v>
      </c>
      <c r="Z124" s="266">
        <v>100</v>
      </c>
      <c r="AA124" s="266">
        <v>100</v>
      </c>
      <c r="AB124" s="266">
        <v>100</v>
      </c>
      <c r="AC124" s="266">
        <f t="shared" si="31"/>
        <v>1600</v>
      </c>
      <c r="AD124" s="290"/>
      <c r="AE124" s="291"/>
      <c r="AF124" s="291"/>
      <c r="AG124" s="294">
        <v>0</v>
      </c>
      <c r="AH124" s="294">
        <v>0</v>
      </c>
      <c r="AI124" s="294">
        <v>0</v>
      </c>
      <c r="AJ124" s="71">
        <f t="shared" si="32"/>
        <v>0</v>
      </c>
      <c r="AK124" s="71">
        <f t="shared" si="33"/>
        <v>1600</v>
      </c>
      <c r="AL124" s="71">
        <f t="shared" si="25"/>
        <v>0</v>
      </c>
      <c r="AM124" s="73">
        <f t="shared" si="20"/>
        <v>0</v>
      </c>
      <c r="AN124" s="73">
        <f t="shared" si="21"/>
        <v>0</v>
      </c>
      <c r="AO124" s="71"/>
      <c r="AP124" s="73"/>
      <c r="AQ124" s="73">
        <f t="shared" si="34"/>
        <v>0</v>
      </c>
      <c r="AR124" s="73">
        <f t="shared" si="35"/>
        <v>1600</v>
      </c>
      <c r="AS124" s="250"/>
      <c r="AT124" s="275" t="s">
        <v>254</v>
      </c>
      <c r="AU124" s="278"/>
    </row>
    <row r="125" s="227" customFormat="1" ht="30" customHeight="1" spans="1:47">
      <c r="A125" s="240">
        <f t="shared" ref="A125:A134" si="38">ROW()-3</f>
        <v>122</v>
      </c>
      <c r="B125" s="287" t="s">
        <v>704</v>
      </c>
      <c r="C125" s="250" t="s">
        <v>273</v>
      </c>
      <c r="D125" s="247" t="s">
        <v>265</v>
      </c>
      <c r="E125" s="279" t="s">
        <v>49</v>
      </c>
      <c r="F125" s="250">
        <v>31</v>
      </c>
      <c r="G125" s="262">
        <v>0</v>
      </c>
      <c r="H125" s="262">
        <v>0</v>
      </c>
      <c r="I125" s="262">
        <v>0</v>
      </c>
      <c r="J125" s="262">
        <v>0</v>
      </c>
      <c r="K125" s="262">
        <v>0</v>
      </c>
      <c r="L125" s="262">
        <v>0</v>
      </c>
      <c r="M125" s="262">
        <v>0</v>
      </c>
      <c r="N125" s="262">
        <v>0</v>
      </c>
      <c r="O125" s="251" t="s">
        <v>254</v>
      </c>
      <c r="P125" s="251">
        <v>0</v>
      </c>
      <c r="Q125" s="251">
        <v>0</v>
      </c>
      <c r="R125" s="251">
        <v>0</v>
      </c>
      <c r="S125" s="268" t="s">
        <v>705</v>
      </c>
      <c r="T125" s="268"/>
      <c r="U125" s="269" t="s">
        <v>706</v>
      </c>
      <c r="V125" s="265">
        <v>1000</v>
      </c>
      <c r="W125" s="266">
        <v>200</v>
      </c>
      <c r="X125" s="266">
        <v>100</v>
      </c>
      <c r="Y125" s="266">
        <v>100</v>
      </c>
      <c r="Z125" s="266">
        <v>100</v>
      </c>
      <c r="AA125" s="266">
        <v>100</v>
      </c>
      <c r="AB125" s="266">
        <v>100</v>
      </c>
      <c r="AC125" s="266">
        <f t="shared" si="31"/>
        <v>1700</v>
      </c>
      <c r="AD125" s="292"/>
      <c r="AE125" s="293"/>
      <c r="AF125" s="293"/>
      <c r="AG125" s="295">
        <v>0</v>
      </c>
      <c r="AH125" s="295">
        <v>0</v>
      </c>
      <c r="AI125" s="295">
        <v>0</v>
      </c>
      <c r="AJ125" s="71">
        <f t="shared" si="32"/>
        <v>0</v>
      </c>
      <c r="AK125" s="71">
        <f t="shared" si="33"/>
        <v>1700</v>
      </c>
      <c r="AL125" s="58">
        <f t="shared" si="25"/>
        <v>0</v>
      </c>
      <c r="AM125" s="58">
        <f t="shared" si="20"/>
        <v>0</v>
      </c>
      <c r="AN125" s="58">
        <f t="shared" si="21"/>
        <v>0</v>
      </c>
      <c r="AO125" s="58"/>
      <c r="AP125" s="73"/>
      <c r="AQ125" s="73">
        <f t="shared" si="34"/>
        <v>0</v>
      </c>
      <c r="AR125" s="73">
        <f t="shared" si="35"/>
        <v>1700</v>
      </c>
      <c r="AS125" s="244"/>
      <c r="AT125" s="275" t="s">
        <v>707</v>
      </c>
      <c r="AU125" s="278"/>
    </row>
    <row r="126" s="224" customFormat="1" ht="30" customHeight="1" spans="1:47">
      <c r="A126" s="240">
        <f t="shared" si="38"/>
        <v>123</v>
      </c>
      <c r="B126" s="256" t="s">
        <v>708</v>
      </c>
      <c r="C126" s="250" t="s">
        <v>267</v>
      </c>
      <c r="D126" s="243" t="s">
        <v>336</v>
      </c>
      <c r="E126" s="279" t="s">
        <v>49</v>
      </c>
      <c r="F126" s="248">
        <v>31</v>
      </c>
      <c r="G126" s="249">
        <v>0</v>
      </c>
      <c r="H126" s="249">
        <v>0</v>
      </c>
      <c r="I126" s="249">
        <v>0</v>
      </c>
      <c r="J126" s="249">
        <v>0</v>
      </c>
      <c r="K126" s="249">
        <v>0</v>
      </c>
      <c r="L126" s="249">
        <v>0</v>
      </c>
      <c r="M126" s="249">
        <v>0</v>
      </c>
      <c r="N126" s="249">
        <v>0</v>
      </c>
      <c r="O126" s="251" t="s">
        <v>254</v>
      </c>
      <c r="P126" s="246">
        <v>0</v>
      </c>
      <c r="Q126" s="246">
        <v>0</v>
      </c>
      <c r="R126" s="246">
        <v>0</v>
      </c>
      <c r="S126" s="263"/>
      <c r="T126" s="263"/>
      <c r="U126" s="267">
        <v>2300</v>
      </c>
      <c r="V126" s="265">
        <v>1100</v>
      </c>
      <c r="W126" s="266">
        <v>300</v>
      </c>
      <c r="X126" s="266">
        <v>200</v>
      </c>
      <c r="Y126" s="266">
        <v>200</v>
      </c>
      <c r="Z126" s="266">
        <v>200</v>
      </c>
      <c r="AA126" s="266">
        <v>200</v>
      </c>
      <c r="AB126" s="266">
        <v>100</v>
      </c>
      <c r="AC126" s="266">
        <f t="shared" si="31"/>
        <v>2300</v>
      </c>
      <c r="AD126" s="290"/>
      <c r="AE126" s="291"/>
      <c r="AF126" s="291"/>
      <c r="AG126" s="294">
        <v>0</v>
      </c>
      <c r="AH126" s="294">
        <v>0</v>
      </c>
      <c r="AI126" s="294">
        <v>0</v>
      </c>
      <c r="AJ126" s="71">
        <f t="shared" si="32"/>
        <v>0</v>
      </c>
      <c r="AK126" s="71">
        <f t="shared" si="33"/>
        <v>2300</v>
      </c>
      <c r="AL126" s="71">
        <f t="shared" si="25"/>
        <v>0</v>
      </c>
      <c r="AM126" s="73">
        <f t="shared" si="20"/>
        <v>0</v>
      </c>
      <c r="AN126" s="73">
        <f t="shared" si="21"/>
        <v>0</v>
      </c>
      <c r="AO126" s="71"/>
      <c r="AP126" s="73"/>
      <c r="AQ126" s="73">
        <f t="shared" si="34"/>
        <v>0</v>
      </c>
      <c r="AR126" s="73">
        <f t="shared" si="35"/>
        <v>2300</v>
      </c>
      <c r="AS126" s="250"/>
      <c r="AT126" s="275" t="s">
        <v>254</v>
      </c>
      <c r="AU126" s="278"/>
    </row>
    <row r="127" s="224" customFormat="1" ht="30" customHeight="1" spans="1:47">
      <c r="A127" s="240">
        <f t="shared" si="38"/>
        <v>124</v>
      </c>
      <c r="B127" s="256" t="s">
        <v>709</v>
      </c>
      <c r="C127" s="252" t="s">
        <v>267</v>
      </c>
      <c r="D127" s="243" t="s">
        <v>336</v>
      </c>
      <c r="E127" s="279" t="s">
        <v>49</v>
      </c>
      <c r="F127" s="245">
        <v>31</v>
      </c>
      <c r="G127" s="249">
        <v>0</v>
      </c>
      <c r="H127" s="249">
        <v>0</v>
      </c>
      <c r="I127" s="249">
        <v>0</v>
      </c>
      <c r="J127" s="249">
        <v>0</v>
      </c>
      <c r="K127" s="249">
        <v>0</v>
      </c>
      <c r="L127" s="249">
        <v>0</v>
      </c>
      <c r="M127" s="249">
        <v>0</v>
      </c>
      <c r="N127" s="249">
        <v>0</v>
      </c>
      <c r="O127" s="251" t="s">
        <v>254</v>
      </c>
      <c r="P127" s="246">
        <v>0</v>
      </c>
      <c r="Q127" s="246">
        <v>0</v>
      </c>
      <c r="R127" s="246">
        <v>0</v>
      </c>
      <c r="S127" s="263"/>
      <c r="T127" s="263"/>
      <c r="U127" s="267">
        <v>2300</v>
      </c>
      <c r="V127" s="265">
        <v>1100</v>
      </c>
      <c r="W127" s="266">
        <v>300</v>
      </c>
      <c r="X127" s="266">
        <v>200</v>
      </c>
      <c r="Y127" s="266">
        <v>200</v>
      </c>
      <c r="Z127" s="266">
        <v>200</v>
      </c>
      <c r="AA127" s="266">
        <v>200</v>
      </c>
      <c r="AB127" s="266">
        <v>100</v>
      </c>
      <c r="AC127" s="266">
        <f t="shared" si="31"/>
        <v>2300</v>
      </c>
      <c r="AD127" s="290"/>
      <c r="AE127" s="291"/>
      <c r="AF127" s="291"/>
      <c r="AG127" s="294">
        <v>0</v>
      </c>
      <c r="AH127" s="294">
        <v>0</v>
      </c>
      <c r="AI127" s="294">
        <v>0</v>
      </c>
      <c r="AJ127" s="71">
        <f t="shared" si="32"/>
        <v>0</v>
      </c>
      <c r="AK127" s="71">
        <f t="shared" si="33"/>
        <v>2300</v>
      </c>
      <c r="AL127" s="71">
        <f t="shared" si="25"/>
        <v>0</v>
      </c>
      <c r="AM127" s="73">
        <f t="shared" si="20"/>
        <v>0</v>
      </c>
      <c r="AN127" s="73">
        <f t="shared" si="21"/>
        <v>0</v>
      </c>
      <c r="AO127" s="71"/>
      <c r="AP127" s="73"/>
      <c r="AQ127" s="73">
        <f t="shared" si="34"/>
        <v>0</v>
      </c>
      <c r="AR127" s="73">
        <f t="shared" si="35"/>
        <v>2300</v>
      </c>
      <c r="AS127" s="250"/>
      <c r="AT127" s="275" t="s">
        <v>254</v>
      </c>
      <c r="AU127" s="278"/>
    </row>
    <row r="128" s="224" customFormat="1" ht="30" customHeight="1" spans="1:47">
      <c r="A128" s="240">
        <f t="shared" si="38"/>
        <v>125</v>
      </c>
      <c r="B128" s="256" t="s">
        <v>710</v>
      </c>
      <c r="C128" s="250" t="s">
        <v>530</v>
      </c>
      <c r="D128" s="243" t="s">
        <v>711</v>
      </c>
      <c r="E128" s="279" t="s">
        <v>49</v>
      </c>
      <c r="F128" s="250">
        <v>31</v>
      </c>
      <c r="G128" s="262">
        <v>0</v>
      </c>
      <c r="H128" s="262">
        <v>0</v>
      </c>
      <c r="I128" s="262">
        <v>0</v>
      </c>
      <c r="J128" s="262">
        <v>0</v>
      </c>
      <c r="K128" s="262">
        <v>0</v>
      </c>
      <c r="L128" s="262">
        <v>0</v>
      </c>
      <c r="M128" s="262">
        <v>0</v>
      </c>
      <c r="N128" s="262">
        <v>0</v>
      </c>
      <c r="O128" s="251" t="s">
        <v>254</v>
      </c>
      <c r="P128" s="246">
        <v>0</v>
      </c>
      <c r="Q128" s="246">
        <v>0</v>
      </c>
      <c r="R128" s="246">
        <v>0</v>
      </c>
      <c r="S128" s="263"/>
      <c r="T128" s="263"/>
      <c r="U128" s="267">
        <v>2000</v>
      </c>
      <c r="V128" s="265">
        <v>1000</v>
      </c>
      <c r="W128" s="266">
        <v>200</v>
      </c>
      <c r="X128" s="266">
        <v>200</v>
      </c>
      <c r="Y128" s="266">
        <v>200</v>
      </c>
      <c r="Z128" s="266">
        <v>200</v>
      </c>
      <c r="AA128" s="266">
        <v>100</v>
      </c>
      <c r="AB128" s="266">
        <v>100</v>
      </c>
      <c r="AC128" s="266">
        <f t="shared" si="31"/>
        <v>2000</v>
      </c>
      <c r="AD128" s="290"/>
      <c r="AE128" s="291"/>
      <c r="AF128" s="291"/>
      <c r="AG128" s="294">
        <v>0</v>
      </c>
      <c r="AH128" s="294">
        <v>0</v>
      </c>
      <c r="AI128" s="294">
        <v>0</v>
      </c>
      <c r="AJ128" s="71">
        <f t="shared" si="32"/>
        <v>0</v>
      </c>
      <c r="AK128" s="71">
        <f t="shared" si="33"/>
        <v>2000</v>
      </c>
      <c r="AL128" s="71">
        <f t="shared" si="25"/>
        <v>0</v>
      </c>
      <c r="AM128" s="73">
        <f t="shared" si="20"/>
        <v>0</v>
      </c>
      <c r="AN128" s="73">
        <f t="shared" si="21"/>
        <v>0</v>
      </c>
      <c r="AO128" s="71"/>
      <c r="AP128" s="73"/>
      <c r="AQ128" s="73">
        <f t="shared" si="34"/>
        <v>0</v>
      </c>
      <c r="AR128" s="73">
        <f t="shared" si="35"/>
        <v>2000</v>
      </c>
      <c r="AS128" s="250"/>
      <c r="AT128" s="275" t="s">
        <v>254</v>
      </c>
      <c r="AU128" s="278"/>
    </row>
    <row r="129" s="224" customFormat="1" ht="43" customHeight="1" spans="1:47">
      <c r="A129" s="240">
        <f t="shared" si="38"/>
        <v>126</v>
      </c>
      <c r="B129" s="256" t="s">
        <v>712</v>
      </c>
      <c r="C129" s="250" t="s">
        <v>267</v>
      </c>
      <c r="D129" s="243" t="s">
        <v>425</v>
      </c>
      <c r="E129" s="279" t="s">
        <v>49</v>
      </c>
      <c r="F129" s="248">
        <v>31</v>
      </c>
      <c r="G129" s="249">
        <v>0</v>
      </c>
      <c r="H129" s="249">
        <v>0</v>
      </c>
      <c r="I129" s="249">
        <v>0</v>
      </c>
      <c r="J129" s="249">
        <v>0</v>
      </c>
      <c r="K129" s="249">
        <v>0</v>
      </c>
      <c r="L129" s="249">
        <v>0</v>
      </c>
      <c r="M129" s="249">
        <v>0</v>
      </c>
      <c r="N129" s="249">
        <v>0</v>
      </c>
      <c r="O129" s="251" t="s">
        <v>254</v>
      </c>
      <c r="P129" s="246">
        <v>0</v>
      </c>
      <c r="Q129" s="246">
        <v>0</v>
      </c>
      <c r="R129" s="246">
        <v>0</v>
      </c>
      <c r="S129" s="263" t="s">
        <v>713</v>
      </c>
      <c r="T129" s="263"/>
      <c r="U129" s="267">
        <v>2400</v>
      </c>
      <c r="V129" s="265">
        <v>1200</v>
      </c>
      <c r="W129" s="266">
        <v>300</v>
      </c>
      <c r="X129" s="266">
        <v>200</v>
      </c>
      <c r="Y129" s="266">
        <v>200</v>
      </c>
      <c r="Z129" s="266">
        <v>200</v>
      </c>
      <c r="AA129" s="266">
        <v>200</v>
      </c>
      <c r="AB129" s="266">
        <v>100</v>
      </c>
      <c r="AC129" s="266">
        <f t="shared" si="31"/>
        <v>2400</v>
      </c>
      <c r="AD129" s="290"/>
      <c r="AE129" s="291"/>
      <c r="AF129" s="291"/>
      <c r="AG129" s="294">
        <v>0</v>
      </c>
      <c r="AH129" s="294">
        <v>0</v>
      </c>
      <c r="AI129" s="294">
        <v>0</v>
      </c>
      <c r="AJ129" s="71">
        <f t="shared" si="32"/>
        <v>0</v>
      </c>
      <c r="AK129" s="71">
        <f t="shared" si="33"/>
        <v>2400</v>
      </c>
      <c r="AL129" s="71">
        <f t="shared" si="25"/>
        <v>0</v>
      </c>
      <c r="AM129" s="73">
        <f t="shared" si="20"/>
        <v>0</v>
      </c>
      <c r="AN129" s="73">
        <f t="shared" si="21"/>
        <v>0</v>
      </c>
      <c r="AO129" s="71"/>
      <c r="AP129" s="73"/>
      <c r="AQ129" s="73">
        <f t="shared" si="34"/>
        <v>0</v>
      </c>
      <c r="AR129" s="73">
        <f t="shared" si="35"/>
        <v>2400</v>
      </c>
      <c r="AS129" s="250"/>
      <c r="AT129" s="275" t="s">
        <v>714</v>
      </c>
      <c r="AU129" s="278"/>
    </row>
    <row r="130" s="224" customFormat="1" ht="30" customHeight="1" spans="1:47">
      <c r="A130" s="240">
        <f t="shared" si="38"/>
        <v>127</v>
      </c>
      <c r="B130" s="256" t="s">
        <v>715</v>
      </c>
      <c r="C130" s="252" t="s">
        <v>267</v>
      </c>
      <c r="D130" s="243" t="s">
        <v>444</v>
      </c>
      <c r="E130" s="279" t="s">
        <v>49</v>
      </c>
      <c r="F130" s="250">
        <v>31</v>
      </c>
      <c r="G130" s="249">
        <v>0</v>
      </c>
      <c r="H130" s="249">
        <v>0</v>
      </c>
      <c r="I130" s="249">
        <v>0</v>
      </c>
      <c r="J130" s="249">
        <v>0</v>
      </c>
      <c r="K130" s="249">
        <v>0</v>
      </c>
      <c r="L130" s="249">
        <v>0</v>
      </c>
      <c r="M130" s="249">
        <v>0</v>
      </c>
      <c r="N130" s="249">
        <v>0</v>
      </c>
      <c r="O130" s="251" t="s">
        <v>254</v>
      </c>
      <c r="P130" s="246">
        <v>0</v>
      </c>
      <c r="Q130" s="246">
        <v>0</v>
      </c>
      <c r="R130" s="246">
        <v>0</v>
      </c>
      <c r="S130" s="263"/>
      <c r="T130" s="263"/>
      <c r="U130" s="267">
        <v>2300</v>
      </c>
      <c r="V130" s="265">
        <v>2300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6">
        <v>0</v>
      </c>
      <c r="AC130" s="266">
        <f t="shared" si="31"/>
        <v>2300</v>
      </c>
      <c r="AD130" s="74"/>
      <c r="AE130" s="291"/>
      <c r="AF130" s="291"/>
      <c r="AG130" s="294">
        <v>0</v>
      </c>
      <c r="AH130" s="294">
        <v>0</v>
      </c>
      <c r="AI130" s="294">
        <v>0</v>
      </c>
      <c r="AJ130" s="71">
        <f t="shared" si="32"/>
        <v>0</v>
      </c>
      <c r="AK130" s="71">
        <f t="shared" si="33"/>
        <v>2300</v>
      </c>
      <c r="AL130" s="71">
        <f t="shared" si="25"/>
        <v>0</v>
      </c>
      <c r="AM130" s="73">
        <f t="shared" si="20"/>
        <v>0</v>
      </c>
      <c r="AN130" s="73">
        <f t="shared" si="21"/>
        <v>0</v>
      </c>
      <c r="AO130" s="71"/>
      <c r="AP130" s="73"/>
      <c r="AQ130" s="73">
        <f t="shared" si="34"/>
        <v>0</v>
      </c>
      <c r="AR130" s="73">
        <f t="shared" si="35"/>
        <v>2300</v>
      </c>
      <c r="AS130" s="310"/>
      <c r="AT130" s="275" t="s">
        <v>254</v>
      </c>
      <c r="AU130" s="278"/>
    </row>
    <row r="131" s="224" customFormat="1" ht="35" customHeight="1" spans="1:47">
      <c r="A131" s="240">
        <f t="shared" si="38"/>
        <v>128</v>
      </c>
      <c r="B131" s="256" t="s">
        <v>716</v>
      </c>
      <c r="C131" s="252" t="s">
        <v>267</v>
      </c>
      <c r="D131" s="243" t="s">
        <v>444</v>
      </c>
      <c r="E131" s="279" t="s">
        <v>49</v>
      </c>
      <c r="F131" s="245">
        <v>31</v>
      </c>
      <c r="G131" s="262">
        <v>0</v>
      </c>
      <c r="H131" s="262">
        <v>0</v>
      </c>
      <c r="I131" s="262">
        <v>0</v>
      </c>
      <c r="J131" s="262">
        <v>0</v>
      </c>
      <c r="K131" s="262">
        <v>0</v>
      </c>
      <c r="L131" s="262">
        <v>0</v>
      </c>
      <c r="M131" s="262">
        <v>0</v>
      </c>
      <c r="N131" s="262">
        <v>0</v>
      </c>
      <c r="O131" s="251" t="s">
        <v>717</v>
      </c>
      <c r="P131" s="246">
        <v>0</v>
      </c>
      <c r="Q131" s="246">
        <v>0</v>
      </c>
      <c r="R131" s="246">
        <v>0</v>
      </c>
      <c r="S131" s="263"/>
      <c r="T131" s="263"/>
      <c r="U131" s="267">
        <v>2300</v>
      </c>
      <c r="V131" s="265">
        <v>2300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6">
        <v>0</v>
      </c>
      <c r="AC131" s="266">
        <f t="shared" si="31"/>
        <v>2300</v>
      </c>
      <c r="AD131" s="74">
        <v>300</v>
      </c>
      <c r="AE131" s="291"/>
      <c r="AF131" s="291"/>
      <c r="AG131" s="294">
        <v>0</v>
      </c>
      <c r="AH131" s="294">
        <v>0</v>
      </c>
      <c r="AI131" s="294">
        <v>0</v>
      </c>
      <c r="AJ131" s="71">
        <f t="shared" si="32"/>
        <v>0</v>
      </c>
      <c r="AK131" s="71">
        <f t="shared" si="33"/>
        <v>2600</v>
      </c>
      <c r="AL131" s="71">
        <f t="shared" si="25"/>
        <v>0</v>
      </c>
      <c r="AM131" s="73">
        <f t="shared" si="20"/>
        <v>0</v>
      </c>
      <c r="AN131" s="73">
        <f t="shared" si="21"/>
        <v>0</v>
      </c>
      <c r="AO131" s="71"/>
      <c r="AP131" s="73"/>
      <c r="AQ131" s="73">
        <f t="shared" si="34"/>
        <v>0</v>
      </c>
      <c r="AR131" s="73">
        <f t="shared" si="35"/>
        <v>2600</v>
      </c>
      <c r="AS131" s="310"/>
      <c r="AT131" s="275" t="s">
        <v>717</v>
      </c>
      <c r="AU131" s="278"/>
    </row>
    <row r="132" s="224" customFormat="1" ht="30" customHeight="1" spans="1:47">
      <c r="A132" s="240">
        <f t="shared" si="38"/>
        <v>129</v>
      </c>
      <c r="B132" s="256" t="s">
        <v>718</v>
      </c>
      <c r="C132" s="252" t="s">
        <v>267</v>
      </c>
      <c r="D132" s="243">
        <v>45773</v>
      </c>
      <c r="E132" s="279" t="s">
        <v>49</v>
      </c>
      <c r="F132" s="250">
        <v>31</v>
      </c>
      <c r="G132" s="249">
        <v>0</v>
      </c>
      <c r="H132" s="249">
        <v>0</v>
      </c>
      <c r="I132" s="249">
        <v>0</v>
      </c>
      <c r="J132" s="249">
        <v>0</v>
      </c>
      <c r="K132" s="249">
        <v>0</v>
      </c>
      <c r="L132" s="249">
        <v>0</v>
      </c>
      <c r="M132" s="249">
        <v>0</v>
      </c>
      <c r="N132" s="249">
        <v>0</v>
      </c>
      <c r="O132" s="251" t="s">
        <v>254</v>
      </c>
      <c r="P132" s="246">
        <v>0</v>
      </c>
      <c r="Q132" s="246">
        <v>0</v>
      </c>
      <c r="R132" s="246">
        <v>0</v>
      </c>
      <c r="S132" s="263"/>
      <c r="T132" s="263"/>
      <c r="U132" s="267">
        <v>2300</v>
      </c>
      <c r="V132" s="265">
        <v>2300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6">
        <v>0</v>
      </c>
      <c r="AC132" s="266">
        <f t="shared" si="31"/>
        <v>2300</v>
      </c>
      <c r="AD132" s="74"/>
      <c r="AE132" s="291"/>
      <c r="AF132" s="291"/>
      <c r="AG132" s="294">
        <v>0</v>
      </c>
      <c r="AH132" s="294">
        <v>0</v>
      </c>
      <c r="AI132" s="294">
        <v>0</v>
      </c>
      <c r="AJ132" s="71">
        <f t="shared" si="32"/>
        <v>0</v>
      </c>
      <c r="AK132" s="71">
        <f t="shared" si="33"/>
        <v>2300</v>
      </c>
      <c r="AL132" s="71">
        <f t="shared" si="25"/>
        <v>0</v>
      </c>
      <c r="AM132" s="73">
        <f t="shared" ref="AM132:AM139" si="39">AC132/F132*AL132</f>
        <v>0</v>
      </c>
      <c r="AN132" s="73">
        <f t="shared" ref="AN132:AN139" si="40">G132*2</f>
        <v>0</v>
      </c>
      <c r="AO132" s="71"/>
      <c r="AP132" s="73"/>
      <c r="AQ132" s="73">
        <f t="shared" si="34"/>
        <v>0</v>
      </c>
      <c r="AR132" s="73">
        <f t="shared" si="35"/>
        <v>2300</v>
      </c>
      <c r="AS132" s="310"/>
      <c r="AT132" s="275" t="s">
        <v>254</v>
      </c>
      <c r="AU132" s="278"/>
    </row>
    <row r="133" s="224" customFormat="1" ht="35" customHeight="1" spans="1:47">
      <c r="A133" s="240">
        <f t="shared" si="38"/>
        <v>130</v>
      </c>
      <c r="B133" s="256" t="s">
        <v>719</v>
      </c>
      <c r="C133" s="242" t="s">
        <v>273</v>
      </c>
      <c r="D133" s="243" t="s">
        <v>720</v>
      </c>
      <c r="E133" s="279" t="s">
        <v>49</v>
      </c>
      <c r="F133" s="245">
        <v>31</v>
      </c>
      <c r="G133" s="249">
        <v>0</v>
      </c>
      <c r="H133" s="249">
        <v>0</v>
      </c>
      <c r="I133" s="249">
        <v>0</v>
      </c>
      <c r="J133" s="249">
        <v>0</v>
      </c>
      <c r="K133" s="249">
        <v>0</v>
      </c>
      <c r="L133" s="249">
        <v>0</v>
      </c>
      <c r="M133" s="249">
        <v>0</v>
      </c>
      <c r="N133" s="249">
        <v>0</v>
      </c>
      <c r="O133" s="251" t="s">
        <v>254</v>
      </c>
      <c r="P133" s="246">
        <v>0</v>
      </c>
      <c r="Q133" s="246">
        <v>0</v>
      </c>
      <c r="R133" s="246">
        <v>0</v>
      </c>
      <c r="S133" s="263"/>
      <c r="T133" s="263"/>
      <c r="U133" s="267">
        <v>1900</v>
      </c>
      <c r="V133" s="265">
        <v>1900</v>
      </c>
      <c r="W133" s="266">
        <v>0</v>
      </c>
      <c r="X133" s="266">
        <v>0</v>
      </c>
      <c r="Y133" s="266">
        <v>0</v>
      </c>
      <c r="Z133" s="266">
        <v>0</v>
      </c>
      <c r="AA133" s="266">
        <v>0</v>
      </c>
      <c r="AB133" s="266">
        <v>0</v>
      </c>
      <c r="AC133" s="266">
        <f t="shared" ref="AC133:AC156" si="41">SUM(V133:AB133)</f>
        <v>1900</v>
      </c>
      <c r="AD133" s="74"/>
      <c r="AE133" s="291"/>
      <c r="AF133" s="291"/>
      <c r="AG133" s="294">
        <v>0</v>
      </c>
      <c r="AH133" s="294">
        <v>0</v>
      </c>
      <c r="AI133" s="294">
        <v>0</v>
      </c>
      <c r="AJ133" s="71">
        <f t="shared" ref="AJ133:AJ156" si="42">T133</f>
        <v>0</v>
      </c>
      <c r="AK133" s="71">
        <f t="shared" ref="AK133:AK155" si="43">SUM(AC133:AJ133)</f>
        <v>1900</v>
      </c>
      <c r="AL133" s="71">
        <f t="shared" ref="AL133:AL139" si="44">H133+I133+J133/2</f>
        <v>0</v>
      </c>
      <c r="AM133" s="73">
        <f t="shared" si="39"/>
        <v>0</v>
      </c>
      <c r="AN133" s="73">
        <f t="shared" si="40"/>
        <v>0</v>
      </c>
      <c r="AO133" s="71"/>
      <c r="AP133" s="73"/>
      <c r="AQ133" s="73">
        <f t="shared" ref="AQ133:AQ155" si="45">SUM(AM133:AP133)</f>
        <v>0</v>
      </c>
      <c r="AR133" s="73">
        <f t="shared" ref="AR133:AR155" si="46">AK133-AQ133</f>
        <v>1900</v>
      </c>
      <c r="AS133" s="310"/>
      <c r="AT133" s="275" t="s">
        <v>254</v>
      </c>
      <c r="AU133" s="278"/>
    </row>
    <row r="134" s="224" customFormat="1" ht="30" customHeight="1" spans="1:47">
      <c r="A134" s="240">
        <f t="shared" si="38"/>
        <v>131</v>
      </c>
      <c r="B134" s="256" t="s">
        <v>721</v>
      </c>
      <c r="C134" s="242" t="s">
        <v>267</v>
      </c>
      <c r="D134" s="243" t="s">
        <v>722</v>
      </c>
      <c r="E134" s="279" t="s">
        <v>49</v>
      </c>
      <c r="F134" s="245">
        <v>31</v>
      </c>
      <c r="G134" s="262">
        <v>0</v>
      </c>
      <c r="H134" s="262">
        <v>0</v>
      </c>
      <c r="I134" s="262">
        <v>0</v>
      </c>
      <c r="J134" s="262">
        <v>0</v>
      </c>
      <c r="K134" s="262">
        <v>0</v>
      </c>
      <c r="L134" s="262">
        <v>0</v>
      </c>
      <c r="M134" s="262">
        <v>0</v>
      </c>
      <c r="N134" s="262">
        <v>0</v>
      </c>
      <c r="O134" s="251" t="s">
        <v>254</v>
      </c>
      <c r="P134" s="251">
        <v>0</v>
      </c>
      <c r="Q134" s="251">
        <v>0</v>
      </c>
      <c r="R134" s="251">
        <v>0</v>
      </c>
      <c r="S134" s="263"/>
      <c r="T134" s="263"/>
      <c r="U134" s="267">
        <v>2400</v>
      </c>
      <c r="V134" s="265">
        <v>2400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6">
        <v>0</v>
      </c>
      <c r="AC134" s="266">
        <f t="shared" si="41"/>
        <v>2400</v>
      </c>
      <c r="AD134" s="74"/>
      <c r="AE134" s="291"/>
      <c r="AF134" s="291"/>
      <c r="AG134" s="294">
        <v>0</v>
      </c>
      <c r="AH134" s="294">
        <v>0</v>
      </c>
      <c r="AI134" s="294">
        <v>0</v>
      </c>
      <c r="AJ134" s="71">
        <f t="shared" si="42"/>
        <v>0</v>
      </c>
      <c r="AK134" s="71">
        <f t="shared" si="43"/>
        <v>2400</v>
      </c>
      <c r="AL134" s="71">
        <f t="shared" si="44"/>
        <v>0</v>
      </c>
      <c r="AM134" s="73">
        <f t="shared" si="39"/>
        <v>0</v>
      </c>
      <c r="AN134" s="73">
        <f t="shared" si="40"/>
        <v>0</v>
      </c>
      <c r="AO134" s="71"/>
      <c r="AP134" s="73"/>
      <c r="AQ134" s="73">
        <f t="shared" si="45"/>
        <v>0</v>
      </c>
      <c r="AR134" s="73">
        <f t="shared" si="46"/>
        <v>2400</v>
      </c>
      <c r="AS134" s="310"/>
      <c r="AT134" s="275" t="s">
        <v>254</v>
      </c>
      <c r="AU134" s="278"/>
    </row>
    <row r="135" s="224" customFormat="1" ht="30" customHeight="1" spans="1:47">
      <c r="A135" s="240">
        <f t="shared" ref="A135:A144" si="47">ROW()-3</f>
        <v>132</v>
      </c>
      <c r="B135" s="256" t="s">
        <v>723</v>
      </c>
      <c r="C135" s="242" t="s">
        <v>267</v>
      </c>
      <c r="D135" s="243" t="s">
        <v>724</v>
      </c>
      <c r="E135" s="279" t="s">
        <v>49</v>
      </c>
      <c r="F135" s="245">
        <v>31</v>
      </c>
      <c r="G135" s="249">
        <v>0</v>
      </c>
      <c r="H135" s="249">
        <v>0</v>
      </c>
      <c r="I135" s="249">
        <v>0</v>
      </c>
      <c r="J135" s="249">
        <v>0</v>
      </c>
      <c r="K135" s="249">
        <v>0</v>
      </c>
      <c r="L135" s="249">
        <v>0</v>
      </c>
      <c r="M135" s="249">
        <v>0</v>
      </c>
      <c r="N135" s="249">
        <v>0</v>
      </c>
      <c r="O135" s="251" t="s">
        <v>254</v>
      </c>
      <c r="P135" s="246">
        <v>0</v>
      </c>
      <c r="Q135" s="246">
        <v>0</v>
      </c>
      <c r="R135" s="246">
        <v>0</v>
      </c>
      <c r="S135" s="263"/>
      <c r="T135" s="263"/>
      <c r="U135" s="267">
        <v>2300</v>
      </c>
      <c r="V135" s="265">
        <v>2300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6">
        <v>0</v>
      </c>
      <c r="AC135" s="266">
        <f t="shared" si="41"/>
        <v>2300</v>
      </c>
      <c r="AD135" s="74"/>
      <c r="AE135" s="291"/>
      <c r="AF135" s="291"/>
      <c r="AG135" s="295">
        <v>0</v>
      </c>
      <c r="AH135" s="295">
        <v>0</v>
      </c>
      <c r="AI135" s="295">
        <v>0</v>
      </c>
      <c r="AJ135" s="71">
        <f t="shared" si="42"/>
        <v>0</v>
      </c>
      <c r="AK135" s="71">
        <f t="shared" si="43"/>
        <v>2300</v>
      </c>
      <c r="AL135" s="71">
        <f t="shared" si="44"/>
        <v>0</v>
      </c>
      <c r="AM135" s="73">
        <f t="shared" si="39"/>
        <v>0</v>
      </c>
      <c r="AN135" s="73">
        <f t="shared" si="40"/>
        <v>0</v>
      </c>
      <c r="AO135" s="71"/>
      <c r="AP135" s="73"/>
      <c r="AQ135" s="73">
        <f t="shared" si="45"/>
        <v>0</v>
      </c>
      <c r="AR135" s="73">
        <f t="shared" si="46"/>
        <v>2300</v>
      </c>
      <c r="AS135" s="250"/>
      <c r="AT135" s="275" t="s">
        <v>254</v>
      </c>
      <c r="AU135" s="278"/>
    </row>
    <row r="136" s="224" customFormat="1" ht="30" customHeight="1" spans="1:47">
      <c r="A136" s="240">
        <f t="shared" si="47"/>
        <v>133</v>
      </c>
      <c r="B136" s="282" t="s">
        <v>725</v>
      </c>
      <c r="C136" s="250" t="s">
        <v>273</v>
      </c>
      <c r="D136" s="243" t="s">
        <v>726</v>
      </c>
      <c r="E136" s="281" t="s">
        <v>107</v>
      </c>
      <c r="F136" s="250">
        <v>31</v>
      </c>
      <c r="G136" s="249">
        <v>0</v>
      </c>
      <c r="H136" s="249">
        <v>0</v>
      </c>
      <c r="I136" s="249">
        <v>0</v>
      </c>
      <c r="J136" s="249">
        <v>0</v>
      </c>
      <c r="K136" s="249">
        <v>0</v>
      </c>
      <c r="L136" s="249">
        <v>0</v>
      </c>
      <c r="M136" s="249">
        <v>0</v>
      </c>
      <c r="N136" s="249">
        <v>0</v>
      </c>
      <c r="O136" s="261" t="s">
        <v>475</v>
      </c>
      <c r="P136" s="246">
        <v>0</v>
      </c>
      <c r="Q136" s="246">
        <v>0</v>
      </c>
      <c r="R136" s="246">
        <v>0</v>
      </c>
      <c r="S136" s="263"/>
      <c r="T136" s="263"/>
      <c r="U136" s="267">
        <v>1600</v>
      </c>
      <c r="V136" s="265">
        <v>1600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6">
        <v>0</v>
      </c>
      <c r="AC136" s="266">
        <f t="shared" si="41"/>
        <v>1600</v>
      </c>
      <c r="AD136" s="74"/>
      <c r="AE136" s="291"/>
      <c r="AF136" s="291"/>
      <c r="AG136" s="294">
        <v>0</v>
      </c>
      <c r="AH136" s="294">
        <v>0</v>
      </c>
      <c r="AI136" s="294">
        <v>0</v>
      </c>
      <c r="AJ136" s="71">
        <f t="shared" si="42"/>
        <v>0</v>
      </c>
      <c r="AK136" s="71">
        <f t="shared" si="43"/>
        <v>1600</v>
      </c>
      <c r="AL136" s="71">
        <f t="shared" si="44"/>
        <v>0</v>
      </c>
      <c r="AM136" s="73">
        <f t="shared" si="39"/>
        <v>0</v>
      </c>
      <c r="AN136" s="73">
        <f t="shared" si="40"/>
        <v>0</v>
      </c>
      <c r="AO136" s="71"/>
      <c r="AP136" s="73"/>
      <c r="AQ136" s="73">
        <f t="shared" si="45"/>
        <v>0</v>
      </c>
      <c r="AR136" s="73">
        <f t="shared" si="46"/>
        <v>1600</v>
      </c>
      <c r="AS136" s="250"/>
      <c r="AT136" s="275" t="s">
        <v>475</v>
      </c>
      <c r="AU136" s="278"/>
    </row>
    <row r="137" s="224" customFormat="1" ht="30" customHeight="1" spans="1:47">
      <c r="A137" s="240">
        <f t="shared" si="47"/>
        <v>134</v>
      </c>
      <c r="B137" s="256" t="s">
        <v>727</v>
      </c>
      <c r="C137" s="250" t="s">
        <v>273</v>
      </c>
      <c r="D137" s="243" t="s">
        <v>728</v>
      </c>
      <c r="E137" s="279" t="s">
        <v>49</v>
      </c>
      <c r="F137" s="248">
        <v>31</v>
      </c>
      <c r="G137" s="262">
        <v>0</v>
      </c>
      <c r="H137" s="262">
        <v>0</v>
      </c>
      <c r="I137" s="262">
        <v>0</v>
      </c>
      <c r="J137" s="262">
        <v>0</v>
      </c>
      <c r="K137" s="262">
        <v>0</v>
      </c>
      <c r="L137" s="262">
        <v>0</v>
      </c>
      <c r="M137" s="262">
        <v>0</v>
      </c>
      <c r="N137" s="262">
        <v>0</v>
      </c>
      <c r="O137" s="251" t="s">
        <v>254</v>
      </c>
      <c r="P137" s="246">
        <v>0</v>
      </c>
      <c r="Q137" s="246">
        <v>0</v>
      </c>
      <c r="R137" s="246">
        <v>0</v>
      </c>
      <c r="S137" s="263"/>
      <c r="T137" s="263"/>
      <c r="U137" s="267">
        <v>1600</v>
      </c>
      <c r="V137" s="265">
        <v>1600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6">
        <v>0</v>
      </c>
      <c r="AC137" s="266">
        <f t="shared" si="41"/>
        <v>1600</v>
      </c>
      <c r="AD137" s="74"/>
      <c r="AE137" s="291"/>
      <c r="AF137" s="291"/>
      <c r="AG137" s="294">
        <v>0</v>
      </c>
      <c r="AH137" s="294">
        <v>0</v>
      </c>
      <c r="AI137" s="294">
        <v>0</v>
      </c>
      <c r="AJ137" s="71">
        <f t="shared" si="42"/>
        <v>0</v>
      </c>
      <c r="AK137" s="71">
        <f t="shared" si="43"/>
        <v>1600</v>
      </c>
      <c r="AL137" s="71">
        <f t="shared" si="44"/>
        <v>0</v>
      </c>
      <c r="AM137" s="73">
        <f t="shared" si="39"/>
        <v>0</v>
      </c>
      <c r="AN137" s="73">
        <f t="shared" si="40"/>
        <v>0</v>
      </c>
      <c r="AO137" s="71"/>
      <c r="AP137" s="73"/>
      <c r="AQ137" s="73">
        <f t="shared" si="45"/>
        <v>0</v>
      </c>
      <c r="AR137" s="73">
        <f t="shared" si="46"/>
        <v>1600</v>
      </c>
      <c r="AS137" s="250"/>
      <c r="AT137" s="275" t="s">
        <v>254</v>
      </c>
      <c r="AU137" s="278"/>
    </row>
    <row r="138" s="224" customFormat="1" ht="30" customHeight="1" spans="1:47">
      <c r="A138" s="240">
        <f t="shared" si="47"/>
        <v>135</v>
      </c>
      <c r="B138" s="256" t="s">
        <v>729</v>
      </c>
      <c r="C138" s="250" t="s">
        <v>267</v>
      </c>
      <c r="D138" s="243" t="s">
        <v>442</v>
      </c>
      <c r="E138" s="279" t="s">
        <v>49</v>
      </c>
      <c r="F138" s="250">
        <v>31</v>
      </c>
      <c r="G138" s="249">
        <v>0</v>
      </c>
      <c r="H138" s="249">
        <v>0</v>
      </c>
      <c r="I138" s="249">
        <v>0</v>
      </c>
      <c r="J138" s="249">
        <v>0</v>
      </c>
      <c r="K138" s="249">
        <v>0</v>
      </c>
      <c r="L138" s="249">
        <v>0</v>
      </c>
      <c r="M138" s="249">
        <v>0</v>
      </c>
      <c r="N138" s="249">
        <v>0</v>
      </c>
      <c r="O138" s="251" t="s">
        <v>254</v>
      </c>
      <c r="P138" s="246">
        <v>0</v>
      </c>
      <c r="Q138" s="246">
        <v>0</v>
      </c>
      <c r="R138" s="246">
        <v>0</v>
      </c>
      <c r="S138" s="263"/>
      <c r="T138" s="263"/>
      <c r="U138" s="267">
        <v>2300</v>
      </c>
      <c r="V138" s="265">
        <v>2300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6">
        <v>0</v>
      </c>
      <c r="AC138" s="266">
        <f t="shared" si="41"/>
        <v>2300</v>
      </c>
      <c r="AD138" s="74"/>
      <c r="AE138" s="291"/>
      <c r="AF138" s="291"/>
      <c r="AG138" s="294">
        <v>0</v>
      </c>
      <c r="AH138" s="294">
        <v>0</v>
      </c>
      <c r="AI138" s="294">
        <v>0</v>
      </c>
      <c r="AJ138" s="71">
        <f t="shared" si="42"/>
        <v>0</v>
      </c>
      <c r="AK138" s="71">
        <f t="shared" si="43"/>
        <v>2300</v>
      </c>
      <c r="AL138" s="71">
        <f t="shared" si="44"/>
        <v>0</v>
      </c>
      <c r="AM138" s="73">
        <f t="shared" si="39"/>
        <v>0</v>
      </c>
      <c r="AN138" s="73">
        <f t="shared" si="40"/>
        <v>0</v>
      </c>
      <c r="AO138" s="71"/>
      <c r="AP138" s="73"/>
      <c r="AQ138" s="73">
        <f t="shared" si="45"/>
        <v>0</v>
      </c>
      <c r="AR138" s="73">
        <f t="shared" si="46"/>
        <v>2300</v>
      </c>
      <c r="AS138" s="250"/>
      <c r="AT138" s="275" t="s">
        <v>254</v>
      </c>
      <c r="AU138" s="278"/>
    </row>
    <row r="139" s="224" customFormat="1" ht="62" customHeight="1" spans="1:47">
      <c r="A139" s="240">
        <f t="shared" si="47"/>
        <v>136</v>
      </c>
      <c r="B139" s="256" t="s">
        <v>730</v>
      </c>
      <c r="C139" s="250" t="s">
        <v>267</v>
      </c>
      <c r="D139" s="243" t="s">
        <v>351</v>
      </c>
      <c r="E139" s="279" t="s">
        <v>49</v>
      </c>
      <c r="F139" s="248">
        <v>31</v>
      </c>
      <c r="G139" s="249">
        <v>0</v>
      </c>
      <c r="H139" s="249">
        <v>0</v>
      </c>
      <c r="I139" s="249">
        <v>0</v>
      </c>
      <c r="J139" s="249">
        <v>0</v>
      </c>
      <c r="K139" s="249">
        <v>0</v>
      </c>
      <c r="L139" s="249">
        <v>0</v>
      </c>
      <c r="M139" s="249">
        <v>0</v>
      </c>
      <c r="N139" s="249">
        <v>0</v>
      </c>
      <c r="O139" s="251" t="s">
        <v>731</v>
      </c>
      <c r="P139" s="246">
        <v>0</v>
      </c>
      <c r="Q139" s="246">
        <v>0</v>
      </c>
      <c r="R139" s="246">
        <v>0</v>
      </c>
      <c r="S139" s="263"/>
      <c r="T139" s="263"/>
      <c r="U139" s="267">
        <v>2400</v>
      </c>
      <c r="V139" s="265">
        <v>1200</v>
      </c>
      <c r="W139" s="266">
        <v>300</v>
      </c>
      <c r="X139" s="266">
        <v>200</v>
      </c>
      <c r="Y139" s="266">
        <v>200</v>
      </c>
      <c r="Z139" s="266">
        <v>200</v>
      </c>
      <c r="AA139" s="266">
        <v>200</v>
      </c>
      <c r="AB139" s="266">
        <v>100</v>
      </c>
      <c r="AC139" s="266">
        <f t="shared" si="41"/>
        <v>2400</v>
      </c>
      <c r="AD139" s="290">
        <v>289.35</v>
      </c>
      <c r="AE139" s="291"/>
      <c r="AF139" s="291"/>
      <c r="AG139" s="294">
        <v>0</v>
      </c>
      <c r="AH139" s="294">
        <v>0</v>
      </c>
      <c r="AI139" s="294">
        <v>0</v>
      </c>
      <c r="AJ139" s="71">
        <f t="shared" si="42"/>
        <v>0</v>
      </c>
      <c r="AK139" s="71">
        <f t="shared" si="43"/>
        <v>2689.35</v>
      </c>
      <c r="AL139" s="71">
        <f t="shared" si="44"/>
        <v>0</v>
      </c>
      <c r="AM139" s="73">
        <f t="shared" si="39"/>
        <v>0</v>
      </c>
      <c r="AN139" s="73">
        <f t="shared" si="40"/>
        <v>0</v>
      </c>
      <c r="AO139" s="71"/>
      <c r="AP139" s="73"/>
      <c r="AQ139" s="73">
        <f t="shared" si="45"/>
        <v>0</v>
      </c>
      <c r="AR139" s="73">
        <f t="shared" si="46"/>
        <v>2689.35</v>
      </c>
      <c r="AS139" s="250"/>
      <c r="AT139" s="275" t="s">
        <v>731</v>
      </c>
      <c r="AU139" s="278"/>
    </row>
    <row r="140" s="224" customFormat="1" ht="42" customHeight="1" spans="1:47">
      <c r="A140" s="240">
        <f t="shared" si="47"/>
        <v>137</v>
      </c>
      <c r="B140" s="297" t="s">
        <v>732</v>
      </c>
      <c r="C140" s="244" t="s">
        <v>273</v>
      </c>
      <c r="D140" s="298" t="s">
        <v>353</v>
      </c>
      <c r="E140" s="244" t="s">
        <v>49</v>
      </c>
      <c r="F140" s="250">
        <v>31</v>
      </c>
      <c r="G140" s="262">
        <v>0</v>
      </c>
      <c r="H140" s="262">
        <v>0</v>
      </c>
      <c r="I140" s="262">
        <v>0</v>
      </c>
      <c r="J140" s="262">
        <v>0</v>
      </c>
      <c r="K140" s="262">
        <v>0</v>
      </c>
      <c r="L140" s="262">
        <v>0</v>
      </c>
      <c r="M140" s="262">
        <v>0</v>
      </c>
      <c r="N140" s="262">
        <v>0</v>
      </c>
      <c r="O140" s="251" t="s">
        <v>733</v>
      </c>
      <c r="P140" s="246">
        <v>0</v>
      </c>
      <c r="Q140" s="246">
        <v>0</v>
      </c>
      <c r="R140" s="246">
        <v>0</v>
      </c>
      <c r="S140" s="306" t="s">
        <v>705</v>
      </c>
      <c r="T140" s="307"/>
      <c r="U140" s="267">
        <v>1700</v>
      </c>
      <c r="V140" s="265">
        <v>1700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6">
        <v>0</v>
      </c>
      <c r="AC140" s="266">
        <f t="shared" si="41"/>
        <v>1700</v>
      </c>
      <c r="AD140" s="290"/>
      <c r="AE140" s="291"/>
      <c r="AF140" s="291"/>
      <c r="AG140" s="294"/>
      <c r="AH140" s="294"/>
      <c r="AI140" s="294"/>
      <c r="AJ140" s="71">
        <f t="shared" si="42"/>
        <v>0</v>
      </c>
      <c r="AK140" s="71">
        <f t="shared" si="43"/>
        <v>1700</v>
      </c>
      <c r="AL140" s="71"/>
      <c r="AM140" s="73"/>
      <c r="AN140" s="73"/>
      <c r="AO140" s="71"/>
      <c r="AP140" s="73"/>
      <c r="AQ140" s="73">
        <f t="shared" si="45"/>
        <v>0</v>
      </c>
      <c r="AR140" s="73">
        <f t="shared" si="46"/>
        <v>1700</v>
      </c>
      <c r="AS140" s="250"/>
      <c r="AT140" s="275" t="s">
        <v>734</v>
      </c>
      <c r="AU140" s="278"/>
    </row>
    <row r="141" s="224" customFormat="1" ht="52" customHeight="1" spans="1:47">
      <c r="A141" s="240">
        <f t="shared" si="47"/>
        <v>138</v>
      </c>
      <c r="B141" s="299" t="s">
        <v>735</v>
      </c>
      <c r="C141" s="252" t="s">
        <v>273</v>
      </c>
      <c r="D141" s="250" t="s">
        <v>736</v>
      </c>
      <c r="E141" s="300" t="s">
        <v>65</v>
      </c>
      <c r="F141" s="245">
        <v>31</v>
      </c>
      <c r="G141" s="249">
        <v>0</v>
      </c>
      <c r="H141" s="249">
        <v>0</v>
      </c>
      <c r="I141" s="249">
        <v>0</v>
      </c>
      <c r="J141" s="249">
        <v>0</v>
      </c>
      <c r="K141" s="249">
        <v>0</v>
      </c>
      <c r="L141" s="249">
        <v>0</v>
      </c>
      <c r="M141" s="249">
        <v>0</v>
      </c>
      <c r="N141" s="249">
        <v>0</v>
      </c>
      <c r="O141" s="251" t="s">
        <v>737</v>
      </c>
      <c r="P141" s="246">
        <v>0</v>
      </c>
      <c r="Q141" s="246">
        <v>0</v>
      </c>
      <c r="R141" s="246">
        <v>0</v>
      </c>
      <c r="S141" s="263"/>
      <c r="T141" s="263"/>
      <c r="U141" s="267">
        <v>1600</v>
      </c>
      <c r="V141" s="265">
        <v>1600</v>
      </c>
      <c r="W141" s="266">
        <v>0</v>
      </c>
      <c r="X141" s="266">
        <v>0</v>
      </c>
      <c r="Y141" s="266">
        <v>0</v>
      </c>
      <c r="Z141" s="266">
        <v>0</v>
      </c>
      <c r="AA141" s="266">
        <v>0</v>
      </c>
      <c r="AB141" s="266">
        <v>0</v>
      </c>
      <c r="AC141" s="266">
        <f t="shared" si="41"/>
        <v>1600</v>
      </c>
      <c r="AD141" s="290">
        <v>160</v>
      </c>
      <c r="AE141" s="291"/>
      <c r="AF141" s="291"/>
      <c r="AG141" s="294">
        <v>0</v>
      </c>
      <c r="AH141" s="294">
        <v>0</v>
      </c>
      <c r="AI141" s="294">
        <v>0</v>
      </c>
      <c r="AJ141" s="71">
        <f t="shared" si="42"/>
        <v>0</v>
      </c>
      <c r="AK141" s="71">
        <f t="shared" si="43"/>
        <v>1760</v>
      </c>
      <c r="AL141" s="71">
        <f t="shared" ref="AL141:AL150" si="48">H141+I141+J141/2</f>
        <v>0</v>
      </c>
      <c r="AM141" s="73">
        <f t="shared" ref="AM141:AM148" si="49">AC141/F141*AL141</f>
        <v>0</v>
      </c>
      <c r="AN141" s="73">
        <f t="shared" ref="AN141:AN150" si="50">G141*2</f>
        <v>0</v>
      </c>
      <c r="AO141" s="71"/>
      <c r="AP141" s="73"/>
      <c r="AQ141" s="73">
        <f t="shared" si="45"/>
        <v>0</v>
      </c>
      <c r="AR141" s="73">
        <f t="shared" si="46"/>
        <v>1760</v>
      </c>
      <c r="AS141" s="250"/>
      <c r="AT141" s="275" t="s">
        <v>738</v>
      </c>
      <c r="AU141" s="278"/>
    </row>
    <row r="142" s="224" customFormat="1" ht="42" customHeight="1" spans="1:47">
      <c r="A142" s="240">
        <f t="shared" si="47"/>
        <v>139</v>
      </c>
      <c r="B142" s="299" t="s">
        <v>739</v>
      </c>
      <c r="C142" s="242" t="s">
        <v>273</v>
      </c>
      <c r="D142" s="250" t="s">
        <v>740</v>
      </c>
      <c r="E142" s="300" t="s">
        <v>65</v>
      </c>
      <c r="F142" s="245">
        <v>9</v>
      </c>
      <c r="G142" s="249">
        <v>0</v>
      </c>
      <c r="H142" s="249">
        <v>0</v>
      </c>
      <c r="I142" s="249">
        <v>0</v>
      </c>
      <c r="J142" s="249">
        <v>0</v>
      </c>
      <c r="K142" s="249">
        <v>0</v>
      </c>
      <c r="L142" s="249">
        <v>0</v>
      </c>
      <c r="M142" s="249">
        <v>0</v>
      </c>
      <c r="N142" s="249">
        <v>0</v>
      </c>
      <c r="O142" s="251" t="s">
        <v>741</v>
      </c>
      <c r="P142" s="246">
        <v>0</v>
      </c>
      <c r="Q142" s="246">
        <v>0</v>
      </c>
      <c r="R142" s="246">
        <v>0</v>
      </c>
      <c r="S142" s="263"/>
      <c r="T142" s="263"/>
      <c r="U142" s="267">
        <v>1700</v>
      </c>
      <c r="V142" s="265">
        <v>493.54</v>
      </c>
      <c r="W142" s="266">
        <v>0</v>
      </c>
      <c r="X142" s="266">
        <v>0</v>
      </c>
      <c r="Y142" s="266">
        <v>0</v>
      </c>
      <c r="Z142" s="266">
        <v>0</v>
      </c>
      <c r="AA142" s="266">
        <v>0</v>
      </c>
      <c r="AB142" s="266">
        <v>0</v>
      </c>
      <c r="AC142" s="266">
        <f t="shared" si="41"/>
        <v>493.54</v>
      </c>
      <c r="AD142" s="290"/>
      <c r="AE142" s="291"/>
      <c r="AF142" s="291"/>
      <c r="AG142" s="294">
        <v>0</v>
      </c>
      <c r="AH142" s="294">
        <v>0</v>
      </c>
      <c r="AI142" s="294">
        <v>0</v>
      </c>
      <c r="AJ142" s="71">
        <f t="shared" si="42"/>
        <v>0</v>
      </c>
      <c r="AK142" s="71">
        <f t="shared" si="43"/>
        <v>493.54</v>
      </c>
      <c r="AL142" s="71">
        <f t="shared" si="48"/>
        <v>0</v>
      </c>
      <c r="AM142" s="73">
        <f t="shared" si="49"/>
        <v>0</v>
      </c>
      <c r="AN142" s="73">
        <f t="shared" si="50"/>
        <v>0</v>
      </c>
      <c r="AO142" s="71"/>
      <c r="AP142" s="73"/>
      <c r="AQ142" s="73">
        <f t="shared" si="45"/>
        <v>0</v>
      </c>
      <c r="AR142" s="73">
        <f t="shared" si="46"/>
        <v>493.54</v>
      </c>
      <c r="AS142" s="250"/>
      <c r="AT142" s="275" t="s">
        <v>741</v>
      </c>
      <c r="AU142" s="278"/>
    </row>
    <row r="143" s="224" customFormat="1" ht="40" customHeight="1" spans="1:47">
      <c r="A143" s="240">
        <f t="shared" si="47"/>
        <v>140</v>
      </c>
      <c r="B143" s="299" t="s">
        <v>742</v>
      </c>
      <c r="C143" s="242" t="s">
        <v>273</v>
      </c>
      <c r="D143" s="250" t="s">
        <v>471</v>
      </c>
      <c r="E143" s="300" t="s">
        <v>65</v>
      </c>
      <c r="F143" s="245">
        <v>17</v>
      </c>
      <c r="G143" s="262">
        <v>0</v>
      </c>
      <c r="H143" s="262">
        <v>0</v>
      </c>
      <c r="I143" s="262">
        <v>0</v>
      </c>
      <c r="J143" s="262">
        <v>0</v>
      </c>
      <c r="K143" s="262">
        <v>0</v>
      </c>
      <c r="L143" s="262">
        <v>0</v>
      </c>
      <c r="M143" s="262">
        <v>0</v>
      </c>
      <c r="N143" s="262">
        <v>0</v>
      </c>
      <c r="O143" s="251" t="s">
        <v>743</v>
      </c>
      <c r="P143" s="251">
        <v>0</v>
      </c>
      <c r="Q143" s="251">
        <v>0</v>
      </c>
      <c r="R143" s="251">
        <v>0</v>
      </c>
      <c r="S143" s="263"/>
      <c r="T143" s="263"/>
      <c r="U143" s="267">
        <v>1900</v>
      </c>
      <c r="V143" s="265">
        <v>1041.93</v>
      </c>
      <c r="W143" s="266">
        <v>0</v>
      </c>
      <c r="X143" s="266">
        <v>0</v>
      </c>
      <c r="Y143" s="266">
        <v>0</v>
      </c>
      <c r="Z143" s="266">
        <v>0</v>
      </c>
      <c r="AA143" s="266">
        <v>0</v>
      </c>
      <c r="AB143" s="266">
        <v>0</v>
      </c>
      <c r="AC143" s="266">
        <f t="shared" si="41"/>
        <v>1041.93</v>
      </c>
      <c r="AD143" s="290"/>
      <c r="AE143" s="291"/>
      <c r="AF143" s="291"/>
      <c r="AG143" s="294">
        <v>0</v>
      </c>
      <c r="AH143" s="294">
        <v>0</v>
      </c>
      <c r="AI143" s="294">
        <v>0</v>
      </c>
      <c r="AJ143" s="71">
        <f t="shared" si="42"/>
        <v>0</v>
      </c>
      <c r="AK143" s="71">
        <f t="shared" si="43"/>
        <v>1041.93</v>
      </c>
      <c r="AL143" s="71">
        <f t="shared" si="48"/>
        <v>0</v>
      </c>
      <c r="AM143" s="73">
        <f t="shared" si="49"/>
        <v>0</v>
      </c>
      <c r="AN143" s="73">
        <f t="shared" si="50"/>
        <v>0</v>
      </c>
      <c r="AO143" s="71"/>
      <c r="AP143" s="73"/>
      <c r="AQ143" s="73">
        <f t="shared" si="45"/>
        <v>0</v>
      </c>
      <c r="AR143" s="73">
        <f t="shared" si="46"/>
        <v>1041.93</v>
      </c>
      <c r="AS143" s="250"/>
      <c r="AT143" s="275" t="s">
        <v>743</v>
      </c>
      <c r="AU143" s="278"/>
    </row>
    <row r="144" s="224" customFormat="1" ht="37" customHeight="1" spans="1:47">
      <c r="A144" s="240">
        <f t="shared" si="47"/>
        <v>141</v>
      </c>
      <c r="B144" s="299" t="s">
        <v>744</v>
      </c>
      <c r="C144" s="242" t="s">
        <v>273</v>
      </c>
      <c r="D144" s="250" t="s">
        <v>745</v>
      </c>
      <c r="E144" s="300" t="s">
        <v>65</v>
      </c>
      <c r="F144" s="245">
        <v>15</v>
      </c>
      <c r="G144" s="249">
        <v>0</v>
      </c>
      <c r="H144" s="249">
        <v>0</v>
      </c>
      <c r="I144" s="249">
        <v>0</v>
      </c>
      <c r="J144" s="249">
        <v>0</v>
      </c>
      <c r="K144" s="249">
        <v>0</v>
      </c>
      <c r="L144" s="249">
        <v>0</v>
      </c>
      <c r="M144" s="249">
        <v>0</v>
      </c>
      <c r="N144" s="249">
        <v>0</v>
      </c>
      <c r="O144" s="251" t="s">
        <v>746</v>
      </c>
      <c r="P144" s="246">
        <v>0</v>
      </c>
      <c r="Q144" s="246">
        <v>0</v>
      </c>
      <c r="R144" s="246">
        <v>0</v>
      </c>
      <c r="S144" s="263"/>
      <c r="T144" s="263"/>
      <c r="U144" s="267">
        <v>1900</v>
      </c>
      <c r="V144" s="265">
        <v>919.35</v>
      </c>
      <c r="W144" s="266">
        <v>0</v>
      </c>
      <c r="X144" s="266">
        <v>0</v>
      </c>
      <c r="Y144" s="266">
        <v>0</v>
      </c>
      <c r="Z144" s="266">
        <v>0</v>
      </c>
      <c r="AA144" s="266">
        <v>0</v>
      </c>
      <c r="AB144" s="266">
        <v>0</v>
      </c>
      <c r="AC144" s="266">
        <f t="shared" si="41"/>
        <v>919.35</v>
      </c>
      <c r="AD144" s="290"/>
      <c r="AE144" s="291"/>
      <c r="AF144" s="291"/>
      <c r="AG144" s="294">
        <v>0</v>
      </c>
      <c r="AH144" s="294">
        <v>0</v>
      </c>
      <c r="AI144" s="294">
        <v>0</v>
      </c>
      <c r="AJ144" s="71">
        <f t="shared" si="42"/>
        <v>0</v>
      </c>
      <c r="AK144" s="71">
        <f t="shared" si="43"/>
        <v>919.35</v>
      </c>
      <c r="AL144" s="71">
        <f t="shared" si="48"/>
        <v>0</v>
      </c>
      <c r="AM144" s="73">
        <f t="shared" si="49"/>
        <v>0</v>
      </c>
      <c r="AN144" s="73">
        <f t="shared" si="50"/>
        <v>0</v>
      </c>
      <c r="AO144" s="71"/>
      <c r="AP144" s="73"/>
      <c r="AQ144" s="73">
        <f t="shared" si="45"/>
        <v>0</v>
      </c>
      <c r="AR144" s="73">
        <f t="shared" si="46"/>
        <v>919.35</v>
      </c>
      <c r="AS144" s="250"/>
      <c r="AT144" s="275" t="s">
        <v>746</v>
      </c>
      <c r="AU144" s="278"/>
    </row>
    <row r="145" s="224" customFormat="1" ht="39" customHeight="1" spans="1:47">
      <c r="A145" s="240">
        <f t="shared" ref="A145:A155" si="51">ROW()-3</f>
        <v>142</v>
      </c>
      <c r="B145" s="299" t="s">
        <v>747</v>
      </c>
      <c r="C145" s="242" t="s">
        <v>273</v>
      </c>
      <c r="D145" s="250" t="s">
        <v>748</v>
      </c>
      <c r="E145" s="300" t="s">
        <v>65</v>
      </c>
      <c r="F145" s="245">
        <v>18</v>
      </c>
      <c r="G145" s="249">
        <v>0</v>
      </c>
      <c r="H145" s="249">
        <v>0</v>
      </c>
      <c r="I145" s="249">
        <v>0</v>
      </c>
      <c r="J145" s="249">
        <v>0</v>
      </c>
      <c r="K145" s="249">
        <v>0</v>
      </c>
      <c r="L145" s="249">
        <v>0</v>
      </c>
      <c r="M145" s="249">
        <v>0</v>
      </c>
      <c r="N145" s="249">
        <v>0</v>
      </c>
      <c r="O145" s="251" t="s">
        <v>749</v>
      </c>
      <c r="P145" s="246">
        <v>0</v>
      </c>
      <c r="Q145" s="246">
        <v>0</v>
      </c>
      <c r="R145" s="246">
        <v>0</v>
      </c>
      <c r="S145" s="263"/>
      <c r="T145" s="263"/>
      <c r="U145" s="267">
        <v>1900</v>
      </c>
      <c r="V145" s="265">
        <v>1103.22</v>
      </c>
      <c r="W145" s="266">
        <v>0</v>
      </c>
      <c r="X145" s="266">
        <v>0</v>
      </c>
      <c r="Y145" s="266">
        <v>0</v>
      </c>
      <c r="Z145" s="266">
        <v>0</v>
      </c>
      <c r="AA145" s="266">
        <v>0</v>
      </c>
      <c r="AB145" s="266">
        <v>0</v>
      </c>
      <c r="AC145" s="266">
        <f t="shared" si="41"/>
        <v>1103.22</v>
      </c>
      <c r="AD145" s="290"/>
      <c r="AE145" s="291"/>
      <c r="AF145" s="291"/>
      <c r="AG145" s="294">
        <v>0</v>
      </c>
      <c r="AH145" s="294">
        <v>0</v>
      </c>
      <c r="AI145" s="294">
        <v>0</v>
      </c>
      <c r="AJ145" s="71">
        <f t="shared" si="42"/>
        <v>0</v>
      </c>
      <c r="AK145" s="71">
        <f t="shared" si="43"/>
        <v>1103.22</v>
      </c>
      <c r="AL145" s="71">
        <f t="shared" si="48"/>
        <v>0</v>
      </c>
      <c r="AM145" s="73">
        <f t="shared" si="49"/>
        <v>0</v>
      </c>
      <c r="AN145" s="73">
        <f t="shared" si="50"/>
        <v>0</v>
      </c>
      <c r="AO145" s="71"/>
      <c r="AP145" s="73"/>
      <c r="AQ145" s="73">
        <f t="shared" si="45"/>
        <v>0</v>
      </c>
      <c r="AR145" s="73">
        <f t="shared" si="46"/>
        <v>1103.22</v>
      </c>
      <c r="AS145" s="250"/>
      <c r="AT145" s="275" t="s">
        <v>749</v>
      </c>
      <c r="AU145" s="278"/>
    </row>
    <row r="146" s="224" customFormat="1" ht="39" customHeight="1" spans="1:47">
      <c r="A146" s="240">
        <f t="shared" si="51"/>
        <v>143</v>
      </c>
      <c r="B146" s="299" t="s">
        <v>750</v>
      </c>
      <c r="C146" s="242" t="s">
        <v>273</v>
      </c>
      <c r="D146" s="250" t="s">
        <v>748</v>
      </c>
      <c r="E146" s="300" t="s">
        <v>65</v>
      </c>
      <c r="F146" s="245">
        <v>18</v>
      </c>
      <c r="G146" s="262">
        <v>0</v>
      </c>
      <c r="H146" s="262">
        <v>0</v>
      </c>
      <c r="I146" s="262">
        <v>0</v>
      </c>
      <c r="J146" s="262">
        <v>0</v>
      </c>
      <c r="K146" s="262">
        <v>0</v>
      </c>
      <c r="L146" s="262">
        <v>0</v>
      </c>
      <c r="M146" s="262">
        <v>0</v>
      </c>
      <c r="N146" s="262">
        <v>0</v>
      </c>
      <c r="O146" s="251" t="s">
        <v>749</v>
      </c>
      <c r="P146" s="246">
        <v>0</v>
      </c>
      <c r="Q146" s="246">
        <v>0</v>
      </c>
      <c r="R146" s="246">
        <v>0</v>
      </c>
      <c r="S146" s="263"/>
      <c r="T146" s="263"/>
      <c r="U146" s="267">
        <v>1900</v>
      </c>
      <c r="V146" s="265">
        <v>1103.22</v>
      </c>
      <c r="W146" s="266">
        <v>0</v>
      </c>
      <c r="X146" s="266">
        <v>0</v>
      </c>
      <c r="Y146" s="266">
        <v>0</v>
      </c>
      <c r="Z146" s="266">
        <v>0</v>
      </c>
      <c r="AA146" s="266">
        <v>0</v>
      </c>
      <c r="AB146" s="266">
        <v>0</v>
      </c>
      <c r="AC146" s="266">
        <f t="shared" si="41"/>
        <v>1103.22</v>
      </c>
      <c r="AD146" s="290"/>
      <c r="AE146" s="291"/>
      <c r="AF146" s="291"/>
      <c r="AG146" s="295">
        <v>0</v>
      </c>
      <c r="AH146" s="295">
        <v>0</v>
      </c>
      <c r="AI146" s="295">
        <v>0</v>
      </c>
      <c r="AJ146" s="71">
        <f t="shared" si="42"/>
        <v>0</v>
      </c>
      <c r="AK146" s="71">
        <f t="shared" si="43"/>
        <v>1103.22</v>
      </c>
      <c r="AL146" s="71">
        <f t="shared" si="48"/>
        <v>0</v>
      </c>
      <c r="AM146" s="73">
        <f t="shared" si="49"/>
        <v>0</v>
      </c>
      <c r="AN146" s="73">
        <f t="shared" si="50"/>
        <v>0</v>
      </c>
      <c r="AO146" s="71"/>
      <c r="AP146" s="73"/>
      <c r="AQ146" s="73">
        <f t="shared" si="45"/>
        <v>0</v>
      </c>
      <c r="AR146" s="73">
        <f t="shared" si="46"/>
        <v>1103.22</v>
      </c>
      <c r="AS146" s="250"/>
      <c r="AT146" s="275" t="s">
        <v>749</v>
      </c>
      <c r="AU146" s="278"/>
    </row>
    <row r="147" s="224" customFormat="1" ht="36" customHeight="1" spans="1:47">
      <c r="A147" s="240">
        <f t="shared" si="51"/>
        <v>144</v>
      </c>
      <c r="B147" s="299" t="s">
        <v>751</v>
      </c>
      <c r="C147" s="242" t="s">
        <v>267</v>
      </c>
      <c r="D147" s="250" t="s">
        <v>752</v>
      </c>
      <c r="E147" s="300" t="s">
        <v>65</v>
      </c>
      <c r="F147" s="245">
        <v>11</v>
      </c>
      <c r="G147" s="249">
        <v>0</v>
      </c>
      <c r="H147" s="249">
        <v>0</v>
      </c>
      <c r="I147" s="249">
        <v>0</v>
      </c>
      <c r="J147" s="249">
        <v>0</v>
      </c>
      <c r="K147" s="249">
        <v>0</v>
      </c>
      <c r="L147" s="249">
        <v>0</v>
      </c>
      <c r="M147" s="249">
        <v>0</v>
      </c>
      <c r="N147" s="249">
        <v>0</v>
      </c>
      <c r="O147" s="251" t="s">
        <v>753</v>
      </c>
      <c r="P147" s="246">
        <v>0</v>
      </c>
      <c r="Q147" s="246">
        <v>0</v>
      </c>
      <c r="R147" s="246">
        <v>0</v>
      </c>
      <c r="S147" s="263"/>
      <c r="T147" s="263"/>
      <c r="U147" s="267">
        <v>2300</v>
      </c>
      <c r="V147" s="265">
        <v>816.12</v>
      </c>
      <c r="W147" s="266">
        <v>0</v>
      </c>
      <c r="X147" s="266">
        <v>0</v>
      </c>
      <c r="Y147" s="266">
        <v>0</v>
      </c>
      <c r="Z147" s="266">
        <v>0</v>
      </c>
      <c r="AA147" s="266">
        <v>0</v>
      </c>
      <c r="AB147" s="266">
        <v>0</v>
      </c>
      <c r="AC147" s="266">
        <f t="shared" si="41"/>
        <v>816.12</v>
      </c>
      <c r="AD147" s="290"/>
      <c r="AE147" s="291"/>
      <c r="AF147" s="291"/>
      <c r="AG147" s="294">
        <v>0</v>
      </c>
      <c r="AH147" s="294">
        <v>0</v>
      </c>
      <c r="AI147" s="294">
        <v>0</v>
      </c>
      <c r="AJ147" s="71">
        <f t="shared" si="42"/>
        <v>0</v>
      </c>
      <c r="AK147" s="71">
        <f t="shared" si="43"/>
        <v>816.12</v>
      </c>
      <c r="AL147" s="71">
        <f t="shared" si="48"/>
        <v>0</v>
      </c>
      <c r="AM147" s="73">
        <f t="shared" si="49"/>
        <v>0</v>
      </c>
      <c r="AN147" s="73">
        <f t="shared" si="50"/>
        <v>0</v>
      </c>
      <c r="AO147" s="71"/>
      <c r="AP147" s="73"/>
      <c r="AQ147" s="73">
        <f t="shared" si="45"/>
        <v>0</v>
      </c>
      <c r="AR147" s="73">
        <f t="shared" si="46"/>
        <v>816.12</v>
      </c>
      <c r="AS147" s="250"/>
      <c r="AT147" s="275" t="s">
        <v>753</v>
      </c>
      <c r="AU147" s="278"/>
    </row>
    <row r="148" s="224" customFormat="1" ht="39" customHeight="1" spans="1:47">
      <c r="A148" s="240">
        <f t="shared" si="51"/>
        <v>145</v>
      </c>
      <c r="B148" s="299" t="s">
        <v>754</v>
      </c>
      <c r="C148" s="242" t="s">
        <v>267</v>
      </c>
      <c r="D148" s="250" t="s">
        <v>752</v>
      </c>
      <c r="E148" s="300" t="s">
        <v>65</v>
      </c>
      <c r="F148" s="245">
        <v>11</v>
      </c>
      <c r="G148" s="249">
        <v>0</v>
      </c>
      <c r="H148" s="249">
        <v>0</v>
      </c>
      <c r="I148" s="249">
        <v>0</v>
      </c>
      <c r="J148" s="249">
        <v>0</v>
      </c>
      <c r="K148" s="249">
        <v>0</v>
      </c>
      <c r="L148" s="249">
        <v>0</v>
      </c>
      <c r="M148" s="249">
        <v>0</v>
      </c>
      <c r="N148" s="249">
        <v>0</v>
      </c>
      <c r="O148" s="251" t="s">
        <v>753</v>
      </c>
      <c r="P148" s="246">
        <v>0</v>
      </c>
      <c r="Q148" s="246">
        <v>0</v>
      </c>
      <c r="R148" s="246">
        <v>0</v>
      </c>
      <c r="S148" s="263"/>
      <c r="T148" s="263"/>
      <c r="U148" s="267">
        <v>2300</v>
      </c>
      <c r="V148" s="265">
        <v>816.12</v>
      </c>
      <c r="W148" s="266">
        <v>0</v>
      </c>
      <c r="X148" s="266">
        <v>0</v>
      </c>
      <c r="Y148" s="266">
        <v>0</v>
      </c>
      <c r="Z148" s="266">
        <v>0</v>
      </c>
      <c r="AA148" s="266">
        <v>0</v>
      </c>
      <c r="AB148" s="266">
        <v>0</v>
      </c>
      <c r="AC148" s="266">
        <f t="shared" si="41"/>
        <v>816.12</v>
      </c>
      <c r="AD148" s="290"/>
      <c r="AE148" s="291"/>
      <c r="AF148" s="291"/>
      <c r="AG148" s="294">
        <v>0</v>
      </c>
      <c r="AH148" s="294">
        <v>0</v>
      </c>
      <c r="AI148" s="294">
        <v>0</v>
      </c>
      <c r="AJ148" s="71">
        <f t="shared" si="42"/>
        <v>0</v>
      </c>
      <c r="AK148" s="71">
        <f t="shared" si="43"/>
        <v>816.12</v>
      </c>
      <c r="AL148" s="71">
        <f t="shared" si="48"/>
        <v>0</v>
      </c>
      <c r="AM148" s="73">
        <f t="shared" si="49"/>
        <v>0</v>
      </c>
      <c r="AN148" s="73">
        <f t="shared" si="50"/>
        <v>0</v>
      </c>
      <c r="AO148" s="71"/>
      <c r="AP148" s="73"/>
      <c r="AQ148" s="73">
        <f t="shared" si="45"/>
        <v>0</v>
      </c>
      <c r="AR148" s="73">
        <f t="shared" si="46"/>
        <v>816.12</v>
      </c>
      <c r="AS148" s="250"/>
      <c r="AT148" s="275" t="s">
        <v>753</v>
      </c>
      <c r="AU148" s="278"/>
    </row>
    <row r="149" s="224" customFormat="1" ht="40" customHeight="1" spans="1:47">
      <c r="A149" s="240">
        <f t="shared" si="51"/>
        <v>146</v>
      </c>
      <c r="B149" s="299" t="s">
        <v>755</v>
      </c>
      <c r="C149" s="250" t="s">
        <v>267</v>
      </c>
      <c r="D149" s="250" t="s">
        <v>756</v>
      </c>
      <c r="E149" s="300" t="s">
        <v>65</v>
      </c>
      <c r="F149" s="250">
        <v>16</v>
      </c>
      <c r="G149" s="262">
        <v>0</v>
      </c>
      <c r="H149" s="262">
        <v>0</v>
      </c>
      <c r="I149" s="262">
        <v>0</v>
      </c>
      <c r="J149" s="262">
        <v>0</v>
      </c>
      <c r="K149" s="262">
        <v>0</v>
      </c>
      <c r="L149" s="262">
        <v>0</v>
      </c>
      <c r="M149" s="262">
        <v>0</v>
      </c>
      <c r="N149" s="262">
        <v>0</v>
      </c>
      <c r="O149" s="251" t="s">
        <v>757</v>
      </c>
      <c r="P149" s="246">
        <v>0</v>
      </c>
      <c r="Q149" s="246">
        <v>0</v>
      </c>
      <c r="R149" s="246">
        <v>0</v>
      </c>
      <c r="S149" s="263"/>
      <c r="T149" s="263"/>
      <c r="U149" s="267">
        <v>2300</v>
      </c>
      <c r="V149" s="265">
        <v>1187.09</v>
      </c>
      <c r="W149" s="266">
        <v>0</v>
      </c>
      <c r="X149" s="266">
        <v>0</v>
      </c>
      <c r="Y149" s="266">
        <v>0</v>
      </c>
      <c r="Z149" s="266">
        <v>0</v>
      </c>
      <c r="AA149" s="266">
        <v>0</v>
      </c>
      <c r="AB149" s="266">
        <v>0</v>
      </c>
      <c r="AC149" s="266">
        <f t="shared" si="41"/>
        <v>1187.09</v>
      </c>
      <c r="AD149" s="290"/>
      <c r="AE149" s="291"/>
      <c r="AF149" s="291"/>
      <c r="AG149" s="294">
        <v>0</v>
      </c>
      <c r="AH149" s="294">
        <v>0</v>
      </c>
      <c r="AI149" s="294">
        <v>0</v>
      </c>
      <c r="AJ149" s="71">
        <f t="shared" si="42"/>
        <v>0</v>
      </c>
      <c r="AK149" s="71">
        <f t="shared" si="43"/>
        <v>1187.09</v>
      </c>
      <c r="AL149" s="71">
        <f t="shared" si="48"/>
        <v>0</v>
      </c>
      <c r="AM149" s="73"/>
      <c r="AN149" s="73">
        <f t="shared" si="50"/>
        <v>0</v>
      </c>
      <c r="AO149" s="71"/>
      <c r="AP149" s="73"/>
      <c r="AQ149" s="73">
        <f t="shared" si="45"/>
        <v>0</v>
      </c>
      <c r="AR149" s="73">
        <f t="shared" si="46"/>
        <v>1187.09</v>
      </c>
      <c r="AS149" s="250"/>
      <c r="AT149" s="275" t="s">
        <v>757</v>
      </c>
      <c r="AU149" s="278"/>
    </row>
    <row r="150" s="224" customFormat="1" ht="43" customHeight="1" spans="1:47">
      <c r="A150" s="240">
        <f t="shared" si="51"/>
        <v>147</v>
      </c>
      <c r="B150" s="299" t="s">
        <v>758</v>
      </c>
      <c r="C150" s="250" t="s">
        <v>267</v>
      </c>
      <c r="D150" s="250" t="s">
        <v>759</v>
      </c>
      <c r="E150" s="300" t="s">
        <v>65</v>
      </c>
      <c r="F150" s="250">
        <v>4</v>
      </c>
      <c r="G150" s="249">
        <v>0</v>
      </c>
      <c r="H150" s="249">
        <v>0</v>
      </c>
      <c r="I150" s="249">
        <v>0</v>
      </c>
      <c r="J150" s="249">
        <v>0</v>
      </c>
      <c r="K150" s="249">
        <v>0</v>
      </c>
      <c r="L150" s="249">
        <v>0</v>
      </c>
      <c r="M150" s="249">
        <v>0</v>
      </c>
      <c r="N150" s="249">
        <v>0</v>
      </c>
      <c r="O150" s="251" t="s">
        <v>760</v>
      </c>
      <c r="P150" s="246">
        <v>0</v>
      </c>
      <c r="Q150" s="246">
        <v>0</v>
      </c>
      <c r="R150" s="246">
        <v>0</v>
      </c>
      <c r="S150" s="263"/>
      <c r="T150" s="263"/>
      <c r="U150" s="267">
        <v>2300</v>
      </c>
      <c r="V150" s="265">
        <f>2300/31*4</f>
        <v>296.774193548387</v>
      </c>
      <c r="W150" s="266">
        <v>0</v>
      </c>
      <c r="X150" s="266">
        <v>0</v>
      </c>
      <c r="Y150" s="266">
        <v>0</v>
      </c>
      <c r="Z150" s="266">
        <v>0</v>
      </c>
      <c r="AA150" s="266">
        <v>0</v>
      </c>
      <c r="AB150" s="266">
        <v>0</v>
      </c>
      <c r="AC150" s="266">
        <f t="shared" si="41"/>
        <v>296.774193548387</v>
      </c>
      <c r="AD150" s="290"/>
      <c r="AE150" s="291"/>
      <c r="AF150" s="291"/>
      <c r="AG150" s="294">
        <v>0</v>
      </c>
      <c r="AH150" s="294">
        <v>0</v>
      </c>
      <c r="AI150" s="294">
        <v>0</v>
      </c>
      <c r="AJ150" s="71">
        <f t="shared" si="42"/>
        <v>0</v>
      </c>
      <c r="AK150" s="71">
        <f t="shared" si="43"/>
        <v>296.774193548387</v>
      </c>
      <c r="AL150" s="71">
        <f t="shared" si="48"/>
        <v>0</v>
      </c>
      <c r="AM150" s="73"/>
      <c r="AN150" s="73">
        <f t="shared" si="50"/>
        <v>0</v>
      </c>
      <c r="AO150" s="71"/>
      <c r="AP150" s="73"/>
      <c r="AQ150" s="73">
        <f t="shared" si="45"/>
        <v>0</v>
      </c>
      <c r="AR150" s="73">
        <f t="shared" si="46"/>
        <v>296.774193548387</v>
      </c>
      <c r="AS150" s="250"/>
      <c r="AT150" s="275" t="s">
        <v>760</v>
      </c>
      <c r="AU150" s="278"/>
    </row>
    <row r="151" s="224" customFormat="1" ht="41" customHeight="1" spans="1:47">
      <c r="A151" s="240">
        <f t="shared" si="51"/>
        <v>148</v>
      </c>
      <c r="B151" s="299" t="s">
        <v>761</v>
      </c>
      <c r="C151" s="250" t="s">
        <v>267</v>
      </c>
      <c r="D151" s="250" t="s">
        <v>756</v>
      </c>
      <c r="E151" s="300" t="s">
        <v>65</v>
      </c>
      <c r="F151" s="245">
        <v>16</v>
      </c>
      <c r="G151" s="249">
        <v>0</v>
      </c>
      <c r="H151" s="249">
        <v>0</v>
      </c>
      <c r="I151" s="249">
        <v>0</v>
      </c>
      <c r="J151" s="249">
        <v>0</v>
      </c>
      <c r="K151" s="249">
        <v>0</v>
      </c>
      <c r="L151" s="249">
        <v>0</v>
      </c>
      <c r="M151" s="249">
        <v>0</v>
      </c>
      <c r="N151" s="249">
        <v>0</v>
      </c>
      <c r="O151" s="251" t="s">
        <v>757</v>
      </c>
      <c r="P151" s="246">
        <v>0</v>
      </c>
      <c r="Q151" s="246">
        <v>0</v>
      </c>
      <c r="R151" s="246">
        <v>0</v>
      </c>
      <c r="S151" s="263"/>
      <c r="T151" s="263"/>
      <c r="U151" s="267">
        <v>2400</v>
      </c>
      <c r="V151" s="265">
        <f>2400/31*16</f>
        <v>1238.70967741935</v>
      </c>
      <c r="W151" s="266">
        <v>0</v>
      </c>
      <c r="X151" s="266">
        <v>0</v>
      </c>
      <c r="Y151" s="266">
        <v>0</v>
      </c>
      <c r="Z151" s="266">
        <v>0</v>
      </c>
      <c r="AA151" s="266">
        <v>0</v>
      </c>
      <c r="AB151" s="266">
        <v>0</v>
      </c>
      <c r="AC151" s="266">
        <f t="shared" si="41"/>
        <v>1238.70967741935</v>
      </c>
      <c r="AD151" s="290"/>
      <c r="AE151" s="291"/>
      <c r="AF151" s="291"/>
      <c r="AG151" s="294"/>
      <c r="AH151" s="294"/>
      <c r="AI151" s="294"/>
      <c r="AJ151" s="71">
        <f t="shared" si="42"/>
        <v>0</v>
      </c>
      <c r="AK151" s="71">
        <f t="shared" si="43"/>
        <v>1238.70967741935</v>
      </c>
      <c r="AL151" s="71"/>
      <c r="AM151" s="73"/>
      <c r="AN151" s="73"/>
      <c r="AO151" s="71"/>
      <c r="AP151" s="73"/>
      <c r="AQ151" s="73">
        <f t="shared" si="45"/>
        <v>0</v>
      </c>
      <c r="AR151" s="73">
        <f t="shared" si="46"/>
        <v>1238.70967741935</v>
      </c>
      <c r="AS151" s="250"/>
      <c r="AT151" s="275" t="s">
        <v>757</v>
      </c>
      <c r="AU151" s="278"/>
    </row>
    <row r="152" s="224" customFormat="1" ht="48" customHeight="1" spans="1:47">
      <c r="A152" s="240">
        <f t="shared" si="51"/>
        <v>149</v>
      </c>
      <c r="B152" s="282" t="s">
        <v>762</v>
      </c>
      <c r="C152" s="250" t="s">
        <v>267</v>
      </c>
      <c r="D152" s="250" t="s">
        <v>763</v>
      </c>
      <c r="E152" s="281" t="s">
        <v>107</v>
      </c>
      <c r="F152" s="250">
        <v>13</v>
      </c>
      <c r="G152" s="262">
        <v>0</v>
      </c>
      <c r="H152" s="262">
        <v>0</v>
      </c>
      <c r="I152" s="262">
        <v>0</v>
      </c>
      <c r="J152" s="262">
        <v>0</v>
      </c>
      <c r="K152" s="262">
        <v>0</v>
      </c>
      <c r="L152" s="262">
        <v>0</v>
      </c>
      <c r="M152" s="262">
        <v>0</v>
      </c>
      <c r="N152" s="262">
        <v>0</v>
      </c>
      <c r="O152" s="251" t="s">
        <v>764</v>
      </c>
      <c r="P152" s="251">
        <v>0</v>
      </c>
      <c r="Q152" s="251">
        <v>0</v>
      </c>
      <c r="R152" s="251">
        <v>0</v>
      </c>
      <c r="S152" s="263"/>
      <c r="T152" s="263"/>
      <c r="U152" s="267">
        <v>2300</v>
      </c>
      <c r="V152" s="265">
        <f>2300/31*13</f>
        <v>964.516129032258</v>
      </c>
      <c r="W152" s="266">
        <v>0</v>
      </c>
      <c r="X152" s="266">
        <v>0</v>
      </c>
      <c r="Y152" s="266">
        <v>0</v>
      </c>
      <c r="Z152" s="266">
        <v>0</v>
      </c>
      <c r="AA152" s="266">
        <v>0</v>
      </c>
      <c r="AB152" s="266">
        <v>0</v>
      </c>
      <c r="AC152" s="266">
        <f t="shared" si="41"/>
        <v>964.516129032258</v>
      </c>
      <c r="AD152" s="290">
        <f>2300/30*2</f>
        <v>153.333333333333</v>
      </c>
      <c r="AE152" s="291"/>
      <c r="AF152" s="291"/>
      <c r="AG152" s="294">
        <v>0</v>
      </c>
      <c r="AH152" s="294">
        <v>0</v>
      </c>
      <c r="AI152" s="294">
        <v>0</v>
      </c>
      <c r="AJ152" s="71">
        <f t="shared" si="42"/>
        <v>0</v>
      </c>
      <c r="AK152" s="71">
        <f t="shared" si="43"/>
        <v>1117.84946236559</v>
      </c>
      <c r="AL152" s="71">
        <f>H152+I152+J152/2</f>
        <v>0</v>
      </c>
      <c r="AM152" s="73"/>
      <c r="AN152" s="73">
        <f>G152*2</f>
        <v>0</v>
      </c>
      <c r="AO152" s="71"/>
      <c r="AP152" s="73"/>
      <c r="AQ152" s="73">
        <f t="shared" si="45"/>
        <v>0</v>
      </c>
      <c r="AR152" s="73">
        <f t="shared" si="46"/>
        <v>1117.84946236559</v>
      </c>
      <c r="AS152" s="250"/>
      <c r="AT152" s="275" t="s">
        <v>765</v>
      </c>
      <c r="AU152" s="278"/>
    </row>
    <row r="153" s="224" customFormat="1" ht="38" customHeight="1" spans="1:47">
      <c r="A153" s="240">
        <f t="shared" si="51"/>
        <v>150</v>
      </c>
      <c r="B153" s="282" t="s">
        <v>766</v>
      </c>
      <c r="C153" s="250" t="s">
        <v>267</v>
      </c>
      <c r="D153" s="250" t="s">
        <v>756</v>
      </c>
      <c r="E153" s="281" t="s">
        <v>107</v>
      </c>
      <c r="F153" s="248">
        <v>10</v>
      </c>
      <c r="G153" s="249">
        <v>0</v>
      </c>
      <c r="H153" s="249">
        <v>0</v>
      </c>
      <c r="I153" s="249">
        <v>0</v>
      </c>
      <c r="J153" s="249">
        <v>0</v>
      </c>
      <c r="K153" s="249">
        <v>0</v>
      </c>
      <c r="L153" s="249">
        <v>0</v>
      </c>
      <c r="M153" s="249">
        <v>0</v>
      </c>
      <c r="N153" s="249">
        <v>0</v>
      </c>
      <c r="O153" s="261" t="s">
        <v>767</v>
      </c>
      <c r="P153" s="246">
        <v>0</v>
      </c>
      <c r="Q153" s="246">
        <v>0</v>
      </c>
      <c r="R153" s="246">
        <v>0</v>
      </c>
      <c r="S153" s="263"/>
      <c r="T153" s="263"/>
      <c r="U153" s="267">
        <v>2300</v>
      </c>
      <c r="V153" s="265">
        <f>2300/31*10</f>
        <v>741.935483870968</v>
      </c>
      <c r="W153" s="266">
        <v>0</v>
      </c>
      <c r="X153" s="266">
        <v>0</v>
      </c>
      <c r="Y153" s="266">
        <v>0</v>
      </c>
      <c r="Z153" s="266">
        <v>0</v>
      </c>
      <c r="AA153" s="266">
        <v>0</v>
      </c>
      <c r="AB153" s="266">
        <v>0</v>
      </c>
      <c r="AC153" s="266">
        <f t="shared" si="41"/>
        <v>741.935483870968</v>
      </c>
      <c r="AD153" s="290"/>
      <c r="AE153" s="291"/>
      <c r="AF153" s="291"/>
      <c r="AG153" s="294">
        <v>0</v>
      </c>
      <c r="AH153" s="294">
        <v>0</v>
      </c>
      <c r="AI153" s="294">
        <v>0</v>
      </c>
      <c r="AJ153" s="71">
        <f t="shared" si="42"/>
        <v>0</v>
      </c>
      <c r="AK153" s="71">
        <f t="shared" si="43"/>
        <v>741.935483870968</v>
      </c>
      <c r="AL153" s="71">
        <f>H153+I153+J153/2</f>
        <v>0</v>
      </c>
      <c r="AM153" s="73"/>
      <c r="AN153" s="73">
        <f>G153*2</f>
        <v>0</v>
      </c>
      <c r="AO153" s="71"/>
      <c r="AP153" s="73"/>
      <c r="AQ153" s="73">
        <f t="shared" si="45"/>
        <v>0</v>
      </c>
      <c r="AR153" s="73">
        <f t="shared" si="46"/>
        <v>741.935483870968</v>
      </c>
      <c r="AS153" s="250"/>
      <c r="AT153" s="275" t="s">
        <v>767</v>
      </c>
      <c r="AU153" s="278"/>
    </row>
    <row r="154" s="224" customFormat="1" ht="50" customHeight="1" spans="1:47">
      <c r="A154" s="240">
        <f t="shared" si="51"/>
        <v>151</v>
      </c>
      <c r="B154" s="282" t="s">
        <v>768</v>
      </c>
      <c r="C154" s="252" t="s">
        <v>267</v>
      </c>
      <c r="D154" s="250" t="s">
        <v>769</v>
      </c>
      <c r="E154" s="281" t="s">
        <v>107</v>
      </c>
      <c r="F154" s="250">
        <v>11</v>
      </c>
      <c r="G154" s="249">
        <v>0</v>
      </c>
      <c r="H154" s="249">
        <v>0</v>
      </c>
      <c r="I154" s="249">
        <v>0</v>
      </c>
      <c r="J154" s="249">
        <v>0</v>
      </c>
      <c r="K154" s="249">
        <v>0</v>
      </c>
      <c r="L154" s="249">
        <v>0</v>
      </c>
      <c r="M154" s="249">
        <v>0</v>
      </c>
      <c r="N154" s="249">
        <v>0</v>
      </c>
      <c r="O154" s="305" t="s">
        <v>770</v>
      </c>
      <c r="P154" s="246">
        <v>0</v>
      </c>
      <c r="Q154" s="246">
        <v>0</v>
      </c>
      <c r="R154" s="246">
        <v>0</v>
      </c>
      <c r="S154" s="263"/>
      <c r="T154" s="263"/>
      <c r="U154" s="267">
        <v>2300</v>
      </c>
      <c r="V154" s="265">
        <v>843.33</v>
      </c>
      <c r="W154" s="266">
        <v>0</v>
      </c>
      <c r="X154" s="266">
        <v>0</v>
      </c>
      <c r="Y154" s="266">
        <v>0</v>
      </c>
      <c r="Z154" s="266">
        <v>0</v>
      </c>
      <c r="AA154" s="266">
        <v>0</v>
      </c>
      <c r="AB154" s="266">
        <v>0</v>
      </c>
      <c r="AC154" s="266">
        <f t="shared" si="41"/>
        <v>843.33</v>
      </c>
      <c r="AD154" s="290"/>
      <c r="AE154" s="291"/>
      <c r="AF154" s="291"/>
      <c r="AG154" s="294">
        <v>0</v>
      </c>
      <c r="AH154" s="294">
        <v>0</v>
      </c>
      <c r="AI154" s="294">
        <v>0</v>
      </c>
      <c r="AJ154" s="71">
        <f t="shared" si="42"/>
        <v>0</v>
      </c>
      <c r="AK154" s="71">
        <f t="shared" si="43"/>
        <v>843.33</v>
      </c>
      <c r="AL154" s="71">
        <f>H154+I154+J154/2</f>
        <v>0</v>
      </c>
      <c r="AM154" s="73">
        <f>AC154/F154*AL154</f>
        <v>0</v>
      </c>
      <c r="AN154" s="73">
        <f>G154*2</f>
        <v>0</v>
      </c>
      <c r="AO154" s="71"/>
      <c r="AP154" s="73"/>
      <c r="AQ154" s="73">
        <f t="shared" si="45"/>
        <v>0</v>
      </c>
      <c r="AR154" s="73">
        <f t="shared" si="46"/>
        <v>843.33</v>
      </c>
      <c r="AS154" s="250"/>
      <c r="AT154" s="275" t="s">
        <v>770</v>
      </c>
      <c r="AU154" s="278"/>
    </row>
    <row r="155" s="224" customFormat="1" ht="47" customHeight="1" spans="1:47">
      <c r="A155" s="240">
        <f t="shared" si="51"/>
        <v>152</v>
      </c>
      <c r="B155" s="282" t="s">
        <v>771</v>
      </c>
      <c r="C155" s="242" t="s">
        <v>267</v>
      </c>
      <c r="D155" s="250" t="s">
        <v>449</v>
      </c>
      <c r="E155" s="281" t="s">
        <v>107</v>
      </c>
      <c r="F155" s="250">
        <v>11</v>
      </c>
      <c r="G155" s="262">
        <v>0</v>
      </c>
      <c r="H155" s="262">
        <v>0</v>
      </c>
      <c r="I155" s="262">
        <v>0</v>
      </c>
      <c r="J155" s="262">
        <v>0</v>
      </c>
      <c r="K155" s="262">
        <v>0</v>
      </c>
      <c r="L155" s="262">
        <v>0</v>
      </c>
      <c r="M155" s="262">
        <v>0</v>
      </c>
      <c r="N155" s="262">
        <v>0</v>
      </c>
      <c r="O155" s="261" t="s">
        <v>772</v>
      </c>
      <c r="P155" s="246">
        <v>0</v>
      </c>
      <c r="Q155" s="246">
        <v>0</v>
      </c>
      <c r="R155" s="246">
        <v>0</v>
      </c>
      <c r="S155" s="263"/>
      <c r="T155" s="263"/>
      <c r="U155" s="308">
        <v>2300</v>
      </c>
      <c r="V155" s="265">
        <f>2300/31*11</f>
        <v>816.129032258064</v>
      </c>
      <c r="W155" s="266">
        <v>0</v>
      </c>
      <c r="X155" s="266">
        <v>0</v>
      </c>
      <c r="Y155" s="266">
        <v>0</v>
      </c>
      <c r="Z155" s="266">
        <v>0</v>
      </c>
      <c r="AA155" s="266">
        <v>0</v>
      </c>
      <c r="AB155" s="266">
        <v>0</v>
      </c>
      <c r="AC155" s="266">
        <f t="shared" si="41"/>
        <v>816.129032258064</v>
      </c>
      <c r="AD155" s="290"/>
      <c r="AE155" s="294"/>
      <c r="AF155" s="294"/>
      <c r="AG155" s="295">
        <v>0</v>
      </c>
      <c r="AH155" s="295">
        <v>0</v>
      </c>
      <c r="AI155" s="295">
        <v>0</v>
      </c>
      <c r="AJ155" s="71">
        <f t="shared" si="42"/>
        <v>0</v>
      </c>
      <c r="AK155" s="71">
        <f t="shared" si="43"/>
        <v>816.129032258064</v>
      </c>
      <c r="AL155" s="71">
        <f>H155+I155+J155/2</f>
        <v>0</v>
      </c>
      <c r="AM155" s="73">
        <f>AC155/F155*AL155</f>
        <v>0</v>
      </c>
      <c r="AN155" s="73">
        <f>G155*2</f>
        <v>0</v>
      </c>
      <c r="AO155" s="71"/>
      <c r="AP155" s="73"/>
      <c r="AQ155" s="73">
        <f t="shared" si="45"/>
        <v>0</v>
      </c>
      <c r="AR155" s="73">
        <f t="shared" si="46"/>
        <v>816.129032258064</v>
      </c>
      <c r="AS155" s="311"/>
      <c r="AT155" s="275" t="s">
        <v>772</v>
      </c>
      <c r="AU155" s="278"/>
    </row>
    <row r="156" s="224" customFormat="1" ht="30" customHeight="1" spans="1:46">
      <c r="A156" s="301"/>
      <c r="B156" s="256"/>
      <c r="C156" s="302"/>
      <c r="D156" s="291"/>
      <c r="E156" s="290"/>
      <c r="F156" s="291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291"/>
      <c r="V156" s="291">
        <f>SUM(V4:V155)</f>
        <v>182681.984516129</v>
      </c>
      <c r="W156" s="291">
        <f t="shared" ref="W156:AR156" si="52">SUM(W4:W155)</f>
        <v>33300</v>
      </c>
      <c r="X156" s="291">
        <f t="shared" si="52"/>
        <v>20800</v>
      </c>
      <c r="Y156" s="291">
        <f t="shared" si="52"/>
        <v>19600</v>
      </c>
      <c r="Z156" s="291">
        <f t="shared" si="52"/>
        <v>19600</v>
      </c>
      <c r="AA156" s="291">
        <f t="shared" si="52"/>
        <v>15900</v>
      </c>
      <c r="AB156" s="291">
        <f t="shared" si="52"/>
        <v>13400</v>
      </c>
      <c r="AC156" s="291">
        <f t="shared" si="52"/>
        <v>305281.984516129</v>
      </c>
      <c r="AD156" s="291">
        <f t="shared" si="52"/>
        <v>22437.5533333333</v>
      </c>
      <c r="AE156" s="291">
        <f t="shared" si="52"/>
        <v>0</v>
      </c>
      <c r="AF156" s="291">
        <f t="shared" si="52"/>
        <v>0</v>
      </c>
      <c r="AG156" s="291">
        <f t="shared" si="52"/>
        <v>0</v>
      </c>
      <c r="AH156" s="291">
        <f t="shared" si="52"/>
        <v>0</v>
      </c>
      <c r="AI156" s="291">
        <f t="shared" si="52"/>
        <v>0</v>
      </c>
      <c r="AJ156" s="291">
        <f t="shared" si="52"/>
        <v>1000</v>
      </c>
      <c r="AK156" s="291">
        <f t="shared" si="52"/>
        <v>328719.537849462</v>
      </c>
      <c r="AL156" s="291">
        <f t="shared" si="52"/>
        <v>0.5</v>
      </c>
      <c r="AM156" s="291">
        <f t="shared" si="52"/>
        <v>38.7096774193548</v>
      </c>
      <c r="AN156" s="291">
        <f t="shared" si="52"/>
        <v>20</v>
      </c>
      <c r="AO156" s="291">
        <f t="shared" si="52"/>
        <v>6986.2</v>
      </c>
      <c r="AP156" s="291">
        <f t="shared" si="52"/>
        <v>820</v>
      </c>
      <c r="AQ156" s="291">
        <f t="shared" si="52"/>
        <v>7864.90967741935</v>
      </c>
      <c r="AR156" s="291">
        <f t="shared" si="52"/>
        <v>320854.628172043</v>
      </c>
      <c r="AS156" s="291"/>
      <c r="AT156" s="275" t="s">
        <v>256</v>
      </c>
    </row>
    <row r="159" s="228" customFormat="1" ht="51" customHeight="1" spans="1:46">
      <c r="A159" s="304" t="s">
        <v>773</v>
      </c>
      <c r="B159" s="304"/>
      <c r="C159" s="304"/>
      <c r="D159" s="304"/>
      <c r="E159" s="304"/>
      <c r="F159" s="304"/>
      <c r="G159" s="304"/>
      <c r="H159" s="304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304"/>
      <c r="AT159" s="312"/>
    </row>
    <row r="164" ht="18.75" spans="28:28">
      <c r="AB164" s="309"/>
    </row>
  </sheetData>
  <mergeCells count="47">
    <mergeCell ref="A1:AS1"/>
    <mergeCell ref="A159:AE159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U4:AU38"/>
    <mergeCell ref="AU39:AU155"/>
  </mergeCells>
  <pageMargins left="0.75" right="0.75" top="1" bottom="1" header="0.5" footer="0.5"/>
  <pageSetup paperSize="9" orientation="portrait"/>
  <headerFooter/>
  <ignoredErrors>
    <ignoredError sqref="AC154:AC1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3"/>
  <sheetViews>
    <sheetView zoomScale="85" zoomScaleNormal="85" workbookViewId="0">
      <pane xSplit="6" ySplit="2" topLeftCell="G43" activePane="bottomRight" state="frozen"/>
      <selection/>
      <selection pane="topRight"/>
      <selection pane="bottomLeft"/>
      <selection pane="bottomRight" activeCell="AP66" sqref="AP66"/>
    </sheetView>
  </sheetViews>
  <sheetFormatPr defaultColWidth="16.3" defaultRowHeight="13.5" customHeight="1"/>
  <cols>
    <col min="1" max="1" width="6.38333333333333" style="163" customWidth="1"/>
    <col min="2" max="2" width="25.275" style="167" customWidth="1"/>
    <col min="3" max="3" width="12.6833333333333" style="163" hidden="1" customWidth="1"/>
    <col min="4" max="4" width="15.725" style="163" hidden="1" customWidth="1"/>
    <col min="5" max="5" width="10.3916666666667" style="163" hidden="1" customWidth="1"/>
    <col min="6" max="6" width="8.975" style="163" hidden="1" customWidth="1"/>
    <col min="7" max="7" width="10.0916666666667" style="163" hidden="1" customWidth="1"/>
    <col min="8" max="8" width="12.3666666666667" style="163" hidden="1" customWidth="1"/>
    <col min="9" max="9" width="7.94166666666667" style="163" hidden="1" customWidth="1"/>
    <col min="10" max="10" width="8.38333333333333" style="163" hidden="1" customWidth="1"/>
    <col min="11" max="11" width="7.35833333333333" style="168" hidden="1" customWidth="1"/>
    <col min="12" max="12" width="7.325" style="168" hidden="1" customWidth="1"/>
    <col min="13" max="13" width="6.76666666666667" style="168" hidden="1" customWidth="1"/>
    <col min="14" max="14" width="6.45833333333333" style="168" hidden="1" customWidth="1"/>
    <col min="15" max="15" width="29.1" style="163" hidden="1" customWidth="1"/>
    <col min="16" max="16" width="8.90833333333333" style="163" hidden="1" customWidth="1"/>
    <col min="17" max="17" width="9.23333333333333" style="163" hidden="1" customWidth="1"/>
    <col min="18" max="18" width="8.49166666666667" style="163" hidden="1" customWidth="1"/>
    <col min="19" max="19" width="23.8166666666667" style="163" hidden="1" customWidth="1"/>
    <col min="20" max="20" width="12.35" style="169" customWidth="1"/>
    <col min="21" max="21" width="11.9083333333333" style="169" hidden="1" customWidth="1"/>
    <col min="22" max="22" width="14.4" style="169" hidden="1" customWidth="1"/>
    <col min="23" max="26" width="16.3" style="169" hidden="1" customWidth="1"/>
    <col min="27" max="27" width="13.675" style="169" customWidth="1"/>
    <col min="28" max="29" width="8.825" style="169" customWidth="1"/>
    <col min="30" max="30" width="12.4916666666667" style="169" customWidth="1"/>
    <col min="31" max="35" width="8.825" style="169" customWidth="1"/>
    <col min="36" max="36" width="10.4416666666667" style="169" customWidth="1"/>
    <col min="37" max="38" width="11.9" style="169" customWidth="1"/>
    <col min="39" max="39" width="12.4916666666667" style="169" customWidth="1"/>
    <col min="40" max="41" width="7.34166666666667" style="169" customWidth="1"/>
    <col min="42" max="42" width="11.175" style="169" customWidth="1"/>
    <col min="43" max="43" width="12.0583333333333" style="169" customWidth="1"/>
    <col min="44" max="44" width="16.3" style="169" customWidth="1"/>
    <col min="45" max="45" width="8.525" style="169" customWidth="1"/>
    <col min="46" max="46" width="23.9666666666667" style="170" customWidth="1"/>
    <col min="47" max="16384" width="16.3" style="164"/>
  </cols>
  <sheetData>
    <row r="1" s="163" customFormat="1" ht="41" customHeight="1" spans="1:46">
      <c r="A1" s="105" t="s">
        <v>0</v>
      </c>
      <c r="B1" s="171" t="s">
        <v>1</v>
      </c>
      <c r="C1" s="172" t="s">
        <v>2</v>
      </c>
      <c r="D1" s="172" t="s">
        <v>3</v>
      </c>
      <c r="E1" s="172" t="s">
        <v>4</v>
      </c>
      <c r="F1" s="172" t="s">
        <v>774</v>
      </c>
      <c r="G1" s="172" t="s">
        <v>203</v>
      </c>
      <c r="H1" s="172" t="s">
        <v>7</v>
      </c>
      <c r="I1" s="172" t="s">
        <v>8</v>
      </c>
      <c r="J1" s="172" t="s">
        <v>9</v>
      </c>
      <c r="K1" s="193" t="s">
        <v>10</v>
      </c>
      <c r="L1" s="194" t="s">
        <v>11</v>
      </c>
      <c r="M1" s="194" t="s">
        <v>12</v>
      </c>
      <c r="N1" s="194" t="s">
        <v>13</v>
      </c>
      <c r="O1" s="195" t="s">
        <v>14</v>
      </c>
      <c r="P1" s="172" t="s">
        <v>15</v>
      </c>
      <c r="Q1" s="172" t="s">
        <v>16</v>
      </c>
      <c r="R1" s="172" t="s">
        <v>17</v>
      </c>
      <c r="S1" s="195" t="s">
        <v>18</v>
      </c>
      <c r="T1" s="204" t="s">
        <v>775</v>
      </c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11"/>
    </row>
    <row r="2" s="163" customFormat="1" ht="43.05" customHeight="1" spans="1:46">
      <c r="A2" s="173"/>
      <c r="B2" s="171"/>
      <c r="C2" s="172"/>
      <c r="D2" s="172"/>
      <c r="E2" s="172"/>
      <c r="F2" s="172"/>
      <c r="G2" s="172"/>
      <c r="H2" s="174" t="s">
        <v>20</v>
      </c>
      <c r="I2" s="172"/>
      <c r="J2" s="172"/>
      <c r="K2" s="194"/>
      <c r="L2" s="194"/>
      <c r="M2" s="194"/>
      <c r="N2" s="194"/>
      <c r="O2" s="195"/>
      <c r="P2" s="172"/>
      <c r="Q2" s="172"/>
      <c r="R2" s="172"/>
      <c r="S2" s="195"/>
      <c r="T2" s="194" t="s">
        <v>21</v>
      </c>
      <c r="U2" s="194" t="s">
        <v>22</v>
      </c>
      <c r="V2" s="194" t="s">
        <v>23</v>
      </c>
      <c r="W2" s="194" t="s">
        <v>24</v>
      </c>
      <c r="X2" s="194" t="s">
        <v>25</v>
      </c>
      <c r="Y2" s="194" t="s">
        <v>26</v>
      </c>
      <c r="Z2" s="194" t="s">
        <v>27</v>
      </c>
      <c r="AA2" s="152" t="s">
        <v>28</v>
      </c>
      <c r="AB2" s="194" t="s">
        <v>29</v>
      </c>
      <c r="AC2" s="194" t="s">
        <v>27</v>
      </c>
      <c r="AD2" s="194" t="s">
        <v>30</v>
      </c>
      <c r="AE2" s="194" t="s">
        <v>31</v>
      </c>
      <c r="AF2" s="194" t="s">
        <v>32</v>
      </c>
      <c r="AG2" s="194" t="s">
        <v>33</v>
      </c>
      <c r="AH2" s="194" t="s">
        <v>34</v>
      </c>
      <c r="AI2" s="194" t="s">
        <v>35</v>
      </c>
      <c r="AJ2" s="152" t="s">
        <v>36</v>
      </c>
      <c r="AK2" s="152" t="s">
        <v>37</v>
      </c>
      <c r="AL2" s="152" t="s">
        <v>38</v>
      </c>
      <c r="AM2" s="152" t="s">
        <v>39</v>
      </c>
      <c r="AN2" s="194" t="s">
        <v>40</v>
      </c>
      <c r="AO2" s="194" t="s">
        <v>41</v>
      </c>
      <c r="AP2" s="194" t="s">
        <v>42</v>
      </c>
      <c r="AQ2" s="152" t="s">
        <v>43</v>
      </c>
      <c r="AR2" s="152" t="s">
        <v>44</v>
      </c>
      <c r="AS2" s="194" t="s">
        <v>45</v>
      </c>
      <c r="AT2" s="211"/>
    </row>
    <row r="3" s="163" customFormat="1" ht="30" customHeight="1" spans="1:46">
      <c r="A3" s="111">
        <v>1</v>
      </c>
      <c r="B3" s="175" t="s">
        <v>776</v>
      </c>
      <c r="C3" s="176" t="s">
        <v>106</v>
      </c>
      <c r="D3" s="177">
        <v>45705</v>
      </c>
      <c r="E3" s="20" t="s">
        <v>49</v>
      </c>
      <c r="F3" s="111">
        <v>31</v>
      </c>
      <c r="G3" s="116">
        <v>0</v>
      </c>
      <c r="H3" s="178"/>
      <c r="I3" s="116">
        <v>0</v>
      </c>
      <c r="J3" s="116">
        <v>0</v>
      </c>
      <c r="K3" s="196">
        <v>3</v>
      </c>
      <c r="L3" s="27">
        <v>0</v>
      </c>
      <c r="M3" s="197">
        <v>0</v>
      </c>
      <c r="N3" s="27">
        <v>3</v>
      </c>
      <c r="O3" s="198"/>
      <c r="P3" s="116">
        <v>0</v>
      </c>
      <c r="Q3" s="116">
        <v>0</v>
      </c>
      <c r="R3" s="116">
        <v>0</v>
      </c>
      <c r="S3" s="205" t="s">
        <v>777</v>
      </c>
      <c r="T3" s="206">
        <v>2000</v>
      </c>
      <c r="U3" s="206">
        <v>500</v>
      </c>
      <c r="V3" s="206">
        <v>500</v>
      </c>
      <c r="W3" s="206">
        <v>200</v>
      </c>
      <c r="X3" s="206">
        <v>100</v>
      </c>
      <c r="Y3" s="206">
        <v>100</v>
      </c>
      <c r="Z3" s="206">
        <v>100</v>
      </c>
      <c r="AA3" s="206">
        <f>SUM(T3:Z3)</f>
        <v>3500</v>
      </c>
      <c r="AB3" s="194"/>
      <c r="AC3" s="194"/>
      <c r="AD3" s="194">
        <v>0</v>
      </c>
      <c r="AE3" s="194"/>
      <c r="AF3" s="194">
        <v>450</v>
      </c>
      <c r="AG3" s="194"/>
      <c r="AH3" s="194"/>
      <c r="AI3" s="194"/>
      <c r="AJ3" s="219">
        <f>SUM(AA3:AI3)</f>
        <v>3950</v>
      </c>
      <c r="AK3" s="178"/>
      <c r="AL3" s="219"/>
      <c r="AM3" s="219">
        <f>3500/31*AK3</f>
        <v>0</v>
      </c>
      <c r="AN3" s="219"/>
      <c r="AO3" s="219"/>
      <c r="AP3" s="222">
        <v>549.9</v>
      </c>
      <c r="AQ3" s="219">
        <f>SUM(AL3:AP3)</f>
        <v>549.9</v>
      </c>
      <c r="AR3" s="214">
        <f>AJ3-AQ3</f>
        <v>3400.1</v>
      </c>
      <c r="AS3" s="194"/>
      <c r="AT3" s="211" t="s">
        <v>777</v>
      </c>
    </row>
    <row r="4" s="164" customFormat="1" ht="28" customHeight="1" spans="1:46">
      <c r="A4" s="111">
        <v>2</v>
      </c>
      <c r="B4" s="179" t="s">
        <v>778</v>
      </c>
      <c r="C4" s="176" t="s">
        <v>779</v>
      </c>
      <c r="D4" s="177">
        <v>45799</v>
      </c>
      <c r="E4" s="26" t="s">
        <v>65</v>
      </c>
      <c r="F4" s="180">
        <v>10</v>
      </c>
      <c r="G4" s="116">
        <v>0</v>
      </c>
      <c r="H4" s="178"/>
      <c r="I4" s="116">
        <v>0</v>
      </c>
      <c r="J4" s="116">
        <v>0</v>
      </c>
      <c r="K4" s="196">
        <v>0</v>
      </c>
      <c r="L4" s="57">
        <v>0</v>
      </c>
      <c r="M4" s="57">
        <v>0</v>
      </c>
      <c r="N4" s="57">
        <v>0</v>
      </c>
      <c r="O4" s="199" t="s">
        <v>780</v>
      </c>
      <c r="P4" s="116">
        <v>0</v>
      </c>
      <c r="Q4" s="116">
        <v>0</v>
      </c>
      <c r="R4" s="116">
        <v>0</v>
      </c>
      <c r="S4" s="133"/>
      <c r="T4" s="206">
        <f>6500/31*10</f>
        <v>2096.77419354839</v>
      </c>
      <c r="U4" s="159"/>
      <c r="V4" s="159"/>
      <c r="W4" s="159"/>
      <c r="X4" s="159"/>
      <c r="Y4" s="159"/>
      <c r="Z4" s="159"/>
      <c r="AA4" s="206">
        <f t="shared" ref="AA4:AA50" si="0">SUM(T4:Z4)</f>
        <v>2096.77419354839</v>
      </c>
      <c r="AB4" s="159"/>
      <c r="AC4" s="159"/>
      <c r="AD4" s="213">
        <v>0</v>
      </c>
      <c r="AE4" s="159"/>
      <c r="AF4" s="159"/>
      <c r="AG4" s="159"/>
      <c r="AH4" s="159"/>
      <c r="AI4" s="159"/>
      <c r="AJ4" s="219">
        <f>SUM(AA4:AI4)</f>
        <v>2096.77419354839</v>
      </c>
      <c r="AK4" s="178">
        <f>H4</f>
        <v>0</v>
      </c>
      <c r="AL4" s="159"/>
      <c r="AM4" s="219">
        <f>3500/31*AK4</f>
        <v>0</v>
      </c>
      <c r="AN4" s="159"/>
      <c r="AO4" s="159"/>
      <c r="AP4" s="159"/>
      <c r="AQ4" s="219">
        <f t="shared" ref="AQ4:AQ47" si="1">SUM(AL4:AP4)</f>
        <v>0</v>
      </c>
      <c r="AR4" s="214">
        <f t="shared" ref="AR4:AR50" si="2">AJ4-AQ4</f>
        <v>2096.77419354839</v>
      </c>
      <c r="AS4" s="159"/>
      <c r="AT4" s="211" t="s">
        <v>780</v>
      </c>
    </row>
    <row r="5" s="163" customFormat="1" ht="28" customHeight="1" spans="1:46">
      <c r="A5" s="111">
        <v>3</v>
      </c>
      <c r="B5" s="181" t="s">
        <v>781</v>
      </c>
      <c r="C5" s="176" t="s">
        <v>779</v>
      </c>
      <c r="D5" s="177">
        <v>45758</v>
      </c>
      <c r="E5" s="31" t="s">
        <v>107</v>
      </c>
      <c r="F5" s="180">
        <v>10</v>
      </c>
      <c r="G5" s="116">
        <v>0</v>
      </c>
      <c r="H5" s="178">
        <v>1</v>
      </c>
      <c r="I5" s="116">
        <v>0</v>
      </c>
      <c r="J5" s="116">
        <v>0</v>
      </c>
      <c r="K5" s="196">
        <v>0</v>
      </c>
      <c r="L5" s="57">
        <v>0</v>
      </c>
      <c r="M5" s="57">
        <v>0</v>
      </c>
      <c r="N5" s="57">
        <v>0</v>
      </c>
      <c r="O5" s="200" t="s">
        <v>782</v>
      </c>
      <c r="P5" s="116">
        <v>0</v>
      </c>
      <c r="Q5" s="116">
        <v>0</v>
      </c>
      <c r="R5" s="116">
        <v>0</v>
      </c>
      <c r="S5" s="207"/>
      <c r="T5" s="206">
        <f>3500/31*10</f>
        <v>1129.03225806452</v>
      </c>
      <c r="U5" s="206"/>
      <c r="V5" s="206"/>
      <c r="W5" s="206"/>
      <c r="X5" s="206"/>
      <c r="Y5" s="206"/>
      <c r="Z5" s="206"/>
      <c r="AA5" s="206">
        <f t="shared" si="0"/>
        <v>1129.03225806452</v>
      </c>
      <c r="AB5" s="206"/>
      <c r="AC5" s="206"/>
      <c r="AD5" s="213">
        <v>0</v>
      </c>
      <c r="AE5" s="214"/>
      <c r="AF5" s="215">
        <f>R5</f>
        <v>0</v>
      </c>
      <c r="AG5" s="215">
        <v>0</v>
      </c>
      <c r="AH5" s="215">
        <v>0</v>
      </c>
      <c r="AI5" s="215">
        <v>0</v>
      </c>
      <c r="AJ5" s="219">
        <f t="shared" ref="AJ5:AJ50" si="3">SUM(AA5:AI5)</f>
        <v>1129.03225806452</v>
      </c>
      <c r="AK5" s="178">
        <f t="shared" ref="AK5:AK15" si="4">H5</f>
        <v>1</v>
      </c>
      <c r="AL5" s="219"/>
      <c r="AM5" s="219">
        <f t="shared" ref="AM5:AM48" si="5">3500/31*AK5</f>
        <v>112.903225806452</v>
      </c>
      <c r="AN5" s="215"/>
      <c r="AO5" s="215"/>
      <c r="AP5" s="215"/>
      <c r="AQ5" s="219">
        <f t="shared" si="1"/>
        <v>112.903225806452</v>
      </c>
      <c r="AR5" s="214">
        <f t="shared" si="2"/>
        <v>1016.12903225807</v>
      </c>
      <c r="AS5" s="206"/>
      <c r="AT5" s="211" t="s">
        <v>782</v>
      </c>
    </row>
    <row r="6" s="163" customFormat="1" ht="28" customHeight="1" spans="1:46">
      <c r="A6" s="111">
        <v>4</v>
      </c>
      <c r="B6" s="182" t="s">
        <v>783</v>
      </c>
      <c r="C6" s="176" t="s">
        <v>779</v>
      </c>
      <c r="D6" s="177">
        <v>45759</v>
      </c>
      <c r="E6" s="20" t="s">
        <v>49</v>
      </c>
      <c r="F6" s="180">
        <v>31</v>
      </c>
      <c r="G6" s="116">
        <v>0</v>
      </c>
      <c r="H6" s="178">
        <v>1</v>
      </c>
      <c r="I6" s="116">
        <v>0</v>
      </c>
      <c r="J6" s="116">
        <v>0</v>
      </c>
      <c r="K6" s="196">
        <v>0</v>
      </c>
      <c r="L6" s="57">
        <v>0</v>
      </c>
      <c r="M6" s="57">
        <v>0</v>
      </c>
      <c r="N6" s="57">
        <v>0</v>
      </c>
      <c r="O6" s="198" t="s">
        <v>784</v>
      </c>
      <c r="P6" s="116">
        <v>0</v>
      </c>
      <c r="Q6" s="116">
        <v>0</v>
      </c>
      <c r="R6" s="116">
        <v>0</v>
      </c>
      <c r="S6" s="208" t="s">
        <v>785</v>
      </c>
      <c r="T6" s="206">
        <v>2000</v>
      </c>
      <c r="U6" s="206">
        <v>500</v>
      </c>
      <c r="V6" s="206">
        <v>500</v>
      </c>
      <c r="W6" s="206">
        <v>200</v>
      </c>
      <c r="X6" s="206">
        <v>100</v>
      </c>
      <c r="Y6" s="206">
        <v>100</v>
      </c>
      <c r="Z6" s="206">
        <v>100</v>
      </c>
      <c r="AA6" s="206">
        <f t="shared" si="0"/>
        <v>3500</v>
      </c>
      <c r="AB6" s="206"/>
      <c r="AC6" s="206"/>
      <c r="AD6" s="213">
        <v>1258.06</v>
      </c>
      <c r="AE6" s="214"/>
      <c r="AF6" s="215">
        <f>R6</f>
        <v>0</v>
      </c>
      <c r="AG6" s="215">
        <v>0</v>
      </c>
      <c r="AH6" s="215"/>
      <c r="AI6" s="215">
        <v>0</v>
      </c>
      <c r="AJ6" s="219">
        <f t="shared" si="3"/>
        <v>4758.06</v>
      </c>
      <c r="AK6" s="178">
        <f t="shared" si="4"/>
        <v>1</v>
      </c>
      <c r="AL6" s="219"/>
      <c r="AM6" s="219">
        <f t="shared" si="5"/>
        <v>112.903225806452</v>
      </c>
      <c r="AN6" s="215"/>
      <c r="AO6" s="215"/>
      <c r="AP6" s="215"/>
      <c r="AQ6" s="219">
        <f t="shared" si="1"/>
        <v>112.903225806452</v>
      </c>
      <c r="AR6" s="214">
        <f t="shared" si="2"/>
        <v>4645.15677419355</v>
      </c>
      <c r="AS6" s="206"/>
      <c r="AT6" s="211" t="s">
        <v>786</v>
      </c>
    </row>
    <row r="7" s="163" customFormat="1" ht="37" customHeight="1" spans="1:46">
      <c r="A7" s="111">
        <v>5</v>
      </c>
      <c r="B7" s="183" t="s">
        <v>787</v>
      </c>
      <c r="C7" s="176" t="s">
        <v>779</v>
      </c>
      <c r="D7" s="177">
        <v>45758</v>
      </c>
      <c r="E7" s="31" t="s">
        <v>107</v>
      </c>
      <c r="F7" s="180">
        <v>7</v>
      </c>
      <c r="G7" s="116">
        <v>0</v>
      </c>
      <c r="H7" s="178"/>
      <c r="I7" s="116">
        <v>0</v>
      </c>
      <c r="J7" s="116">
        <v>0</v>
      </c>
      <c r="K7" s="196">
        <v>1</v>
      </c>
      <c r="L7" s="57">
        <v>0</v>
      </c>
      <c r="M7" s="57">
        <v>0</v>
      </c>
      <c r="N7" s="57">
        <v>1</v>
      </c>
      <c r="O7" s="200" t="s">
        <v>788</v>
      </c>
      <c r="P7" s="116">
        <v>0</v>
      </c>
      <c r="Q7" s="116">
        <v>0</v>
      </c>
      <c r="R7" s="116">
        <v>0</v>
      </c>
      <c r="S7" s="207"/>
      <c r="T7" s="209">
        <f>3500/31*7</f>
        <v>790.322580645161</v>
      </c>
      <c r="U7" s="206"/>
      <c r="V7" s="206"/>
      <c r="W7" s="206"/>
      <c r="X7" s="206"/>
      <c r="Y7" s="206"/>
      <c r="Z7" s="206"/>
      <c r="AA7" s="206">
        <f t="shared" si="0"/>
        <v>790.322580645161</v>
      </c>
      <c r="AB7" s="206"/>
      <c r="AC7" s="206">
        <f>3500/31*1</f>
        <v>112.903225806452</v>
      </c>
      <c r="AD7" s="213">
        <v>0</v>
      </c>
      <c r="AE7" s="214"/>
      <c r="AF7" s="215"/>
      <c r="AG7" s="215">
        <v>0</v>
      </c>
      <c r="AH7" s="215"/>
      <c r="AI7" s="215"/>
      <c r="AJ7" s="219">
        <f t="shared" si="3"/>
        <v>903.225806451613</v>
      </c>
      <c r="AK7" s="178"/>
      <c r="AL7" s="219"/>
      <c r="AM7" s="219">
        <f t="shared" si="5"/>
        <v>0</v>
      </c>
      <c r="AN7" s="215"/>
      <c r="AO7" s="215"/>
      <c r="AP7" s="215"/>
      <c r="AQ7" s="219">
        <f t="shared" si="1"/>
        <v>0</v>
      </c>
      <c r="AR7" s="214">
        <f t="shared" si="2"/>
        <v>903.225806451613</v>
      </c>
      <c r="AS7" s="206"/>
      <c r="AT7" s="211" t="s">
        <v>788</v>
      </c>
    </row>
    <row r="8" s="163" customFormat="1" ht="48" customHeight="1" spans="1:46">
      <c r="A8" s="111">
        <v>6</v>
      </c>
      <c r="B8" s="182" t="s">
        <v>789</v>
      </c>
      <c r="C8" s="176" t="s">
        <v>779</v>
      </c>
      <c r="D8" s="177">
        <v>45758</v>
      </c>
      <c r="E8" s="20" t="s">
        <v>49</v>
      </c>
      <c r="F8" s="180">
        <v>31</v>
      </c>
      <c r="G8" s="116">
        <v>0</v>
      </c>
      <c r="H8" s="178">
        <v>1</v>
      </c>
      <c r="I8" s="116">
        <v>0</v>
      </c>
      <c r="J8" s="116">
        <v>0</v>
      </c>
      <c r="K8" s="196"/>
      <c r="L8" s="57">
        <v>0</v>
      </c>
      <c r="M8" s="57">
        <v>0</v>
      </c>
      <c r="N8" s="57">
        <v>0</v>
      </c>
      <c r="O8" s="198" t="s">
        <v>790</v>
      </c>
      <c r="P8" s="116">
        <v>0</v>
      </c>
      <c r="Q8" s="116">
        <v>0</v>
      </c>
      <c r="R8" s="116">
        <v>0</v>
      </c>
      <c r="S8" s="207" t="s">
        <v>791</v>
      </c>
      <c r="T8" s="206">
        <v>2000</v>
      </c>
      <c r="U8" s="206">
        <v>500</v>
      </c>
      <c r="V8" s="206">
        <v>500</v>
      </c>
      <c r="W8" s="206">
        <v>200</v>
      </c>
      <c r="X8" s="206">
        <v>100</v>
      </c>
      <c r="Y8" s="206">
        <v>100</v>
      </c>
      <c r="Z8" s="206">
        <v>100</v>
      </c>
      <c r="AA8" s="206">
        <f t="shared" si="0"/>
        <v>3500</v>
      </c>
      <c r="AB8" s="206"/>
      <c r="AC8" s="206"/>
      <c r="AD8" s="213">
        <v>419.35</v>
      </c>
      <c r="AE8" s="214"/>
      <c r="AF8" s="215"/>
      <c r="AG8" s="215"/>
      <c r="AH8" s="215">
        <v>0</v>
      </c>
      <c r="AI8" s="215"/>
      <c r="AJ8" s="219">
        <f t="shared" si="3"/>
        <v>3919.35</v>
      </c>
      <c r="AK8" s="178">
        <v>1</v>
      </c>
      <c r="AL8" s="219"/>
      <c r="AM8" s="219">
        <f t="shared" si="5"/>
        <v>112.903225806452</v>
      </c>
      <c r="AN8" s="215"/>
      <c r="AO8" s="215"/>
      <c r="AP8" s="215"/>
      <c r="AQ8" s="219">
        <f t="shared" si="1"/>
        <v>112.903225806452</v>
      </c>
      <c r="AR8" s="214">
        <f t="shared" si="2"/>
        <v>3806.44677419355</v>
      </c>
      <c r="AS8" s="206"/>
      <c r="AT8" s="211" t="s">
        <v>792</v>
      </c>
    </row>
    <row r="9" s="163" customFormat="1" ht="28" customHeight="1" spans="1:46">
      <c r="A9" s="111">
        <v>7</v>
      </c>
      <c r="B9" s="184" t="s">
        <v>793</v>
      </c>
      <c r="C9" s="176" t="s">
        <v>779</v>
      </c>
      <c r="D9" s="177">
        <v>45759</v>
      </c>
      <c r="E9" s="20" t="s">
        <v>49</v>
      </c>
      <c r="F9" s="180">
        <v>31</v>
      </c>
      <c r="G9" s="116">
        <v>0</v>
      </c>
      <c r="H9" s="178"/>
      <c r="I9" s="116">
        <v>0</v>
      </c>
      <c r="J9" s="116">
        <v>0</v>
      </c>
      <c r="K9" s="196">
        <v>1</v>
      </c>
      <c r="L9" s="57">
        <v>0</v>
      </c>
      <c r="M9" s="57">
        <v>1</v>
      </c>
      <c r="N9" s="57">
        <v>0</v>
      </c>
      <c r="O9" s="201" t="s">
        <v>794</v>
      </c>
      <c r="P9" s="116"/>
      <c r="Q9" s="116">
        <v>0</v>
      </c>
      <c r="R9" s="116">
        <v>0</v>
      </c>
      <c r="S9" s="207" t="s">
        <v>795</v>
      </c>
      <c r="T9" s="206">
        <v>2000</v>
      </c>
      <c r="U9" s="206">
        <v>500</v>
      </c>
      <c r="V9" s="206">
        <v>500</v>
      </c>
      <c r="W9" s="206">
        <v>200</v>
      </c>
      <c r="X9" s="206">
        <v>100</v>
      </c>
      <c r="Y9" s="206">
        <v>100</v>
      </c>
      <c r="Z9" s="206">
        <v>100</v>
      </c>
      <c r="AA9" s="206">
        <f t="shared" si="0"/>
        <v>3500</v>
      </c>
      <c r="AB9" s="216"/>
      <c r="AC9" s="216"/>
      <c r="AD9" s="213">
        <v>1300</v>
      </c>
      <c r="AE9" s="216"/>
      <c r="AF9" s="217">
        <f t="shared" ref="AF9:AI9" si="6">SUM(AF5:AF8)</f>
        <v>0</v>
      </c>
      <c r="AG9" s="217">
        <f t="shared" si="6"/>
        <v>0</v>
      </c>
      <c r="AH9" s="217">
        <f t="shared" si="6"/>
        <v>0</v>
      </c>
      <c r="AI9" s="217">
        <f t="shared" si="6"/>
        <v>0</v>
      </c>
      <c r="AJ9" s="219">
        <f t="shared" si="3"/>
        <v>4800</v>
      </c>
      <c r="AK9" s="178"/>
      <c r="AL9" s="217"/>
      <c r="AM9" s="219">
        <f t="shared" si="5"/>
        <v>0</v>
      </c>
      <c r="AN9" s="217"/>
      <c r="AO9" s="217"/>
      <c r="AP9" s="217"/>
      <c r="AQ9" s="219">
        <f t="shared" si="1"/>
        <v>0</v>
      </c>
      <c r="AR9" s="214">
        <f t="shared" si="2"/>
        <v>4800</v>
      </c>
      <c r="AS9" s="194"/>
      <c r="AT9" s="211" t="s">
        <v>796</v>
      </c>
    </row>
    <row r="10" s="164" customFormat="1" ht="28" customHeight="1" spans="1:46">
      <c r="A10" s="111">
        <v>8</v>
      </c>
      <c r="B10" s="185" t="s">
        <v>797</v>
      </c>
      <c r="C10" s="176" t="s">
        <v>779</v>
      </c>
      <c r="D10" s="177">
        <v>45760</v>
      </c>
      <c r="E10" s="31" t="s">
        <v>107</v>
      </c>
      <c r="F10" s="180">
        <v>10</v>
      </c>
      <c r="G10" s="116">
        <v>0</v>
      </c>
      <c r="H10" s="178"/>
      <c r="I10" s="116">
        <v>0</v>
      </c>
      <c r="J10" s="116">
        <v>0</v>
      </c>
      <c r="K10" s="196">
        <v>0</v>
      </c>
      <c r="L10" s="57">
        <v>0</v>
      </c>
      <c r="M10" s="57">
        <v>0</v>
      </c>
      <c r="N10" s="57">
        <v>0</v>
      </c>
      <c r="O10" s="200" t="s">
        <v>798</v>
      </c>
      <c r="P10" s="116">
        <v>0</v>
      </c>
      <c r="Q10" s="116">
        <v>0</v>
      </c>
      <c r="R10" s="116">
        <v>0</v>
      </c>
      <c r="S10" s="133"/>
      <c r="T10" s="206">
        <f>3500/31*10</f>
        <v>1129.03225806452</v>
      </c>
      <c r="U10" s="206"/>
      <c r="V10" s="206"/>
      <c r="W10" s="206"/>
      <c r="X10" s="206"/>
      <c r="Y10" s="206"/>
      <c r="Z10" s="206"/>
      <c r="AA10" s="206">
        <f t="shared" si="0"/>
        <v>1129.03225806452</v>
      </c>
      <c r="AB10" s="159"/>
      <c r="AC10" s="159"/>
      <c r="AD10" s="213">
        <v>0</v>
      </c>
      <c r="AE10" s="159"/>
      <c r="AF10" s="159"/>
      <c r="AG10" s="159"/>
      <c r="AH10" s="159"/>
      <c r="AI10" s="159"/>
      <c r="AJ10" s="219">
        <f t="shared" si="3"/>
        <v>1129.03225806452</v>
      </c>
      <c r="AK10" s="178">
        <f t="shared" si="4"/>
        <v>0</v>
      </c>
      <c r="AL10" s="159"/>
      <c r="AM10" s="219">
        <f t="shared" si="5"/>
        <v>0</v>
      </c>
      <c r="AN10" s="159"/>
      <c r="AO10" s="159"/>
      <c r="AP10" s="159"/>
      <c r="AQ10" s="219">
        <f t="shared" si="1"/>
        <v>0</v>
      </c>
      <c r="AR10" s="214">
        <f t="shared" si="2"/>
        <v>1129.03225806452</v>
      </c>
      <c r="AS10" s="159"/>
      <c r="AT10" s="211" t="s">
        <v>798</v>
      </c>
    </row>
    <row r="11" s="164" customFormat="1" ht="28" customHeight="1" spans="1:46">
      <c r="A11" s="111">
        <v>9</v>
      </c>
      <c r="B11" s="185" t="s">
        <v>799</v>
      </c>
      <c r="C11" s="176" t="s">
        <v>779</v>
      </c>
      <c r="D11" s="177">
        <v>45761</v>
      </c>
      <c r="E11" s="31" t="s">
        <v>107</v>
      </c>
      <c r="F11" s="180">
        <v>13</v>
      </c>
      <c r="G11" s="116">
        <v>0</v>
      </c>
      <c r="H11" s="178"/>
      <c r="I11" s="116">
        <v>0</v>
      </c>
      <c r="J11" s="116">
        <v>0</v>
      </c>
      <c r="K11" s="196">
        <v>0</v>
      </c>
      <c r="L11" s="57">
        <v>0</v>
      </c>
      <c r="M11" s="57">
        <v>0</v>
      </c>
      <c r="N11" s="57">
        <v>0</v>
      </c>
      <c r="O11" s="200" t="s">
        <v>800</v>
      </c>
      <c r="P11" s="116">
        <v>0</v>
      </c>
      <c r="Q11" s="116">
        <v>0</v>
      </c>
      <c r="R11" s="116">
        <v>0</v>
      </c>
      <c r="S11" s="207"/>
      <c r="T11" s="206">
        <f>3500/31*13</f>
        <v>1467.74193548387</v>
      </c>
      <c r="U11" s="206"/>
      <c r="V11" s="206"/>
      <c r="W11" s="206"/>
      <c r="X11" s="206"/>
      <c r="Y11" s="206"/>
      <c r="Z11" s="206"/>
      <c r="AA11" s="206">
        <f t="shared" si="0"/>
        <v>1467.74193548387</v>
      </c>
      <c r="AB11" s="159"/>
      <c r="AC11" s="159"/>
      <c r="AD11" s="213"/>
      <c r="AE11" s="159"/>
      <c r="AF11" s="159"/>
      <c r="AG11" s="159"/>
      <c r="AH11" s="159"/>
      <c r="AI11" s="159"/>
      <c r="AJ11" s="219">
        <f t="shared" si="3"/>
        <v>1467.74193548387</v>
      </c>
      <c r="AK11" s="178">
        <f t="shared" si="4"/>
        <v>0</v>
      </c>
      <c r="AL11" s="159"/>
      <c r="AM11" s="219">
        <f t="shared" si="5"/>
        <v>0</v>
      </c>
      <c r="AN11" s="159"/>
      <c r="AO11" s="159"/>
      <c r="AP11" s="159"/>
      <c r="AQ11" s="219">
        <f t="shared" si="1"/>
        <v>0</v>
      </c>
      <c r="AR11" s="214">
        <f t="shared" si="2"/>
        <v>1467.74193548387</v>
      </c>
      <c r="AS11" s="159"/>
      <c r="AT11" s="211" t="s">
        <v>800</v>
      </c>
    </row>
    <row r="12" s="164" customFormat="1" ht="28" customHeight="1" spans="1:46">
      <c r="A12" s="111">
        <v>10</v>
      </c>
      <c r="B12" s="185" t="s">
        <v>801</v>
      </c>
      <c r="C12" s="176" t="s">
        <v>779</v>
      </c>
      <c r="D12" s="177">
        <v>45761</v>
      </c>
      <c r="E12" s="31" t="s">
        <v>107</v>
      </c>
      <c r="F12" s="180">
        <v>14</v>
      </c>
      <c r="G12" s="116">
        <v>0</v>
      </c>
      <c r="H12" s="178"/>
      <c r="I12" s="116">
        <v>0</v>
      </c>
      <c r="J12" s="116">
        <v>0</v>
      </c>
      <c r="K12" s="196">
        <v>0</v>
      </c>
      <c r="L12" s="57">
        <v>0</v>
      </c>
      <c r="M12" s="57">
        <v>0</v>
      </c>
      <c r="N12" s="57">
        <v>0</v>
      </c>
      <c r="O12" s="200" t="s">
        <v>802</v>
      </c>
      <c r="P12" s="116">
        <v>0</v>
      </c>
      <c r="Q12" s="116">
        <v>0</v>
      </c>
      <c r="R12" s="116">
        <v>0</v>
      </c>
      <c r="S12" s="133"/>
      <c r="T12" s="206">
        <f>3500/31*14</f>
        <v>1580.64516129032</v>
      </c>
      <c r="U12" s="206"/>
      <c r="V12" s="206"/>
      <c r="W12" s="206"/>
      <c r="X12" s="206"/>
      <c r="Y12" s="206"/>
      <c r="Z12" s="206"/>
      <c r="AA12" s="206">
        <f t="shared" si="0"/>
        <v>1580.64516129032</v>
      </c>
      <c r="AB12" s="159"/>
      <c r="AC12" s="159"/>
      <c r="AD12" s="213">
        <v>0</v>
      </c>
      <c r="AE12" s="159"/>
      <c r="AF12" s="159"/>
      <c r="AG12" s="159"/>
      <c r="AH12" s="159"/>
      <c r="AI12" s="159"/>
      <c r="AJ12" s="219">
        <f t="shared" si="3"/>
        <v>1580.64516129032</v>
      </c>
      <c r="AK12" s="178">
        <f t="shared" si="4"/>
        <v>0</v>
      </c>
      <c r="AL12" s="159"/>
      <c r="AM12" s="219">
        <f t="shared" si="5"/>
        <v>0</v>
      </c>
      <c r="AN12" s="159"/>
      <c r="AO12" s="159"/>
      <c r="AP12" s="159"/>
      <c r="AQ12" s="219">
        <f t="shared" si="1"/>
        <v>0</v>
      </c>
      <c r="AR12" s="214">
        <f t="shared" si="2"/>
        <v>1580.64516129032</v>
      </c>
      <c r="AS12" s="159"/>
      <c r="AT12" s="211" t="s">
        <v>802</v>
      </c>
    </row>
    <row r="13" s="164" customFormat="1" ht="28" customHeight="1" spans="1:46">
      <c r="A13" s="111">
        <v>11</v>
      </c>
      <c r="B13" s="184" t="s">
        <v>803</v>
      </c>
      <c r="C13" s="176" t="s">
        <v>779</v>
      </c>
      <c r="D13" s="177">
        <v>45764</v>
      </c>
      <c r="E13" s="20" t="s">
        <v>49</v>
      </c>
      <c r="F13" s="180">
        <v>31</v>
      </c>
      <c r="G13" s="116">
        <v>0</v>
      </c>
      <c r="H13" s="178"/>
      <c r="I13" s="116">
        <v>0</v>
      </c>
      <c r="J13" s="116">
        <v>0</v>
      </c>
      <c r="K13" s="196">
        <v>0</v>
      </c>
      <c r="L13" s="57">
        <v>1</v>
      </c>
      <c r="M13" s="57">
        <v>0</v>
      </c>
      <c r="N13" s="57">
        <v>1</v>
      </c>
      <c r="O13" s="198" t="s">
        <v>804</v>
      </c>
      <c r="P13" s="116">
        <v>0</v>
      </c>
      <c r="Q13" s="116">
        <v>0</v>
      </c>
      <c r="R13" s="116">
        <v>0</v>
      </c>
      <c r="S13" s="133"/>
      <c r="T13" s="206">
        <v>2000</v>
      </c>
      <c r="U13" s="206">
        <v>500</v>
      </c>
      <c r="V13" s="206">
        <v>500</v>
      </c>
      <c r="W13" s="206">
        <v>200</v>
      </c>
      <c r="X13" s="206">
        <v>100</v>
      </c>
      <c r="Y13" s="206">
        <v>100</v>
      </c>
      <c r="Z13" s="206">
        <v>100</v>
      </c>
      <c r="AA13" s="206">
        <f t="shared" si="0"/>
        <v>3500</v>
      </c>
      <c r="AB13" s="159"/>
      <c r="AC13" s="159"/>
      <c r="AD13" s="213">
        <v>0</v>
      </c>
      <c r="AE13" s="159"/>
      <c r="AF13" s="159"/>
      <c r="AG13" s="159"/>
      <c r="AH13" s="159"/>
      <c r="AI13" s="159"/>
      <c r="AJ13" s="219">
        <f t="shared" si="3"/>
        <v>3500</v>
      </c>
      <c r="AK13" s="178">
        <f t="shared" si="4"/>
        <v>0</v>
      </c>
      <c r="AL13" s="159"/>
      <c r="AM13" s="219">
        <f t="shared" si="5"/>
        <v>0</v>
      </c>
      <c r="AN13" s="159"/>
      <c r="AO13" s="159"/>
      <c r="AP13" s="159"/>
      <c r="AQ13" s="219">
        <f t="shared" si="1"/>
        <v>0</v>
      </c>
      <c r="AR13" s="214">
        <f t="shared" si="2"/>
        <v>3500</v>
      </c>
      <c r="AS13" s="159"/>
      <c r="AT13" s="211" t="s">
        <v>804</v>
      </c>
    </row>
    <row r="14" s="164" customFormat="1" ht="28" customHeight="1" spans="1:46">
      <c r="A14" s="111">
        <v>12</v>
      </c>
      <c r="B14" s="184" t="s">
        <v>805</v>
      </c>
      <c r="C14" s="176" t="s">
        <v>779</v>
      </c>
      <c r="D14" s="177">
        <v>45761</v>
      </c>
      <c r="E14" s="20" t="s">
        <v>49</v>
      </c>
      <c r="F14" s="180">
        <v>31</v>
      </c>
      <c r="G14" s="116">
        <v>0</v>
      </c>
      <c r="H14" s="178"/>
      <c r="I14" s="116">
        <v>0</v>
      </c>
      <c r="J14" s="116">
        <v>0</v>
      </c>
      <c r="K14" s="196">
        <v>0</v>
      </c>
      <c r="L14" s="57">
        <v>1</v>
      </c>
      <c r="M14" s="57">
        <v>0</v>
      </c>
      <c r="N14" s="57">
        <v>1</v>
      </c>
      <c r="O14" s="198" t="s">
        <v>804</v>
      </c>
      <c r="P14" s="116">
        <v>0</v>
      </c>
      <c r="Q14" s="116">
        <v>0</v>
      </c>
      <c r="R14" s="116">
        <v>0</v>
      </c>
      <c r="S14" s="133"/>
      <c r="T14" s="206">
        <v>2000</v>
      </c>
      <c r="U14" s="206">
        <v>500</v>
      </c>
      <c r="V14" s="206">
        <v>500</v>
      </c>
      <c r="W14" s="206">
        <v>200</v>
      </c>
      <c r="X14" s="206">
        <v>100</v>
      </c>
      <c r="Y14" s="206">
        <v>100</v>
      </c>
      <c r="Z14" s="206">
        <v>100</v>
      </c>
      <c r="AA14" s="206">
        <f t="shared" si="0"/>
        <v>3500</v>
      </c>
      <c r="AB14" s="159"/>
      <c r="AC14" s="159"/>
      <c r="AD14" s="213">
        <v>0</v>
      </c>
      <c r="AE14" s="159"/>
      <c r="AF14" s="159"/>
      <c r="AG14" s="159"/>
      <c r="AH14" s="159"/>
      <c r="AI14" s="159"/>
      <c r="AJ14" s="219">
        <f t="shared" si="3"/>
        <v>3500</v>
      </c>
      <c r="AK14" s="178">
        <f t="shared" si="4"/>
        <v>0</v>
      </c>
      <c r="AL14" s="159"/>
      <c r="AM14" s="219">
        <f t="shared" si="5"/>
        <v>0</v>
      </c>
      <c r="AN14" s="159"/>
      <c r="AO14" s="159"/>
      <c r="AP14" s="159"/>
      <c r="AQ14" s="219">
        <f t="shared" si="1"/>
        <v>0</v>
      </c>
      <c r="AR14" s="214">
        <f t="shared" si="2"/>
        <v>3500</v>
      </c>
      <c r="AS14" s="159"/>
      <c r="AT14" s="211" t="s">
        <v>804</v>
      </c>
    </row>
    <row r="15" s="164" customFormat="1" ht="28" customHeight="1" spans="1:46">
      <c r="A15" s="111">
        <v>13</v>
      </c>
      <c r="B15" s="185" t="s">
        <v>806</v>
      </c>
      <c r="C15" s="176" t="s">
        <v>779</v>
      </c>
      <c r="D15" s="177">
        <v>45761</v>
      </c>
      <c r="E15" s="31" t="s">
        <v>107</v>
      </c>
      <c r="F15" s="180">
        <v>13</v>
      </c>
      <c r="G15" s="116">
        <v>0</v>
      </c>
      <c r="H15" s="178"/>
      <c r="I15" s="116">
        <v>0</v>
      </c>
      <c r="J15" s="116">
        <v>0</v>
      </c>
      <c r="K15" s="196">
        <v>0</v>
      </c>
      <c r="L15" s="57">
        <v>0</v>
      </c>
      <c r="M15" s="57">
        <v>0</v>
      </c>
      <c r="N15" s="57">
        <v>0</v>
      </c>
      <c r="O15" s="198" t="s">
        <v>800</v>
      </c>
      <c r="P15" s="116">
        <v>0</v>
      </c>
      <c r="Q15" s="116">
        <v>0</v>
      </c>
      <c r="R15" s="116">
        <v>0</v>
      </c>
      <c r="S15" s="133"/>
      <c r="T15" s="206">
        <f>3500/31*13</f>
        <v>1467.74193548387</v>
      </c>
      <c r="U15" s="206"/>
      <c r="V15" s="206"/>
      <c r="W15" s="206"/>
      <c r="X15" s="206"/>
      <c r="Y15" s="206"/>
      <c r="Z15" s="206"/>
      <c r="AA15" s="206">
        <f t="shared" si="0"/>
        <v>1467.74193548387</v>
      </c>
      <c r="AB15" s="159"/>
      <c r="AC15" s="159"/>
      <c r="AD15" s="213">
        <v>0</v>
      </c>
      <c r="AE15" s="159"/>
      <c r="AF15" s="159"/>
      <c r="AG15" s="159"/>
      <c r="AH15" s="159"/>
      <c r="AI15" s="159"/>
      <c r="AJ15" s="219">
        <f t="shared" si="3"/>
        <v>1467.74193548387</v>
      </c>
      <c r="AK15" s="178">
        <f t="shared" si="4"/>
        <v>0</v>
      </c>
      <c r="AL15" s="159"/>
      <c r="AM15" s="219">
        <f t="shared" si="5"/>
        <v>0</v>
      </c>
      <c r="AN15" s="159"/>
      <c r="AO15" s="159"/>
      <c r="AP15" s="159"/>
      <c r="AQ15" s="219">
        <f t="shared" si="1"/>
        <v>0</v>
      </c>
      <c r="AR15" s="214">
        <f t="shared" si="2"/>
        <v>1467.74193548387</v>
      </c>
      <c r="AS15" s="159"/>
      <c r="AT15" s="211" t="s">
        <v>800</v>
      </c>
    </row>
    <row r="16" s="164" customFormat="1" ht="28" customHeight="1" spans="1:46">
      <c r="A16" s="111">
        <v>14</v>
      </c>
      <c r="B16" s="184" t="s">
        <v>807</v>
      </c>
      <c r="C16" s="176" t="s">
        <v>779</v>
      </c>
      <c r="D16" s="177">
        <v>45762</v>
      </c>
      <c r="E16" s="20" t="s">
        <v>49</v>
      </c>
      <c r="F16" s="180">
        <v>31</v>
      </c>
      <c r="G16" s="116">
        <v>0</v>
      </c>
      <c r="H16" s="178"/>
      <c r="I16" s="116">
        <v>0</v>
      </c>
      <c r="J16" s="116">
        <v>0</v>
      </c>
      <c r="K16" s="196">
        <v>1</v>
      </c>
      <c r="L16" s="57">
        <v>0</v>
      </c>
      <c r="M16" s="57">
        <v>1</v>
      </c>
      <c r="N16" s="57">
        <v>0</v>
      </c>
      <c r="O16" s="198" t="s">
        <v>808</v>
      </c>
      <c r="P16" s="116">
        <v>0</v>
      </c>
      <c r="Q16" s="116">
        <v>0</v>
      </c>
      <c r="R16" s="116">
        <v>0</v>
      </c>
      <c r="S16" s="133"/>
      <c r="T16" s="206">
        <v>2000</v>
      </c>
      <c r="U16" s="206">
        <v>500</v>
      </c>
      <c r="V16" s="206">
        <v>500</v>
      </c>
      <c r="W16" s="206">
        <v>200</v>
      </c>
      <c r="X16" s="206">
        <v>100</v>
      </c>
      <c r="Y16" s="206">
        <v>100</v>
      </c>
      <c r="Z16" s="206">
        <v>100</v>
      </c>
      <c r="AA16" s="206">
        <f t="shared" si="0"/>
        <v>3500</v>
      </c>
      <c r="AB16" s="159"/>
      <c r="AC16" s="159"/>
      <c r="AD16" s="213">
        <v>0</v>
      </c>
      <c r="AE16" s="159"/>
      <c r="AF16" s="159"/>
      <c r="AG16" s="159"/>
      <c r="AH16" s="159"/>
      <c r="AI16" s="159"/>
      <c r="AJ16" s="219">
        <f t="shared" si="3"/>
        <v>3500</v>
      </c>
      <c r="AK16" s="178"/>
      <c r="AL16" s="159"/>
      <c r="AM16" s="219">
        <f t="shared" si="5"/>
        <v>0</v>
      </c>
      <c r="AN16" s="159"/>
      <c r="AO16" s="159"/>
      <c r="AP16" s="159"/>
      <c r="AQ16" s="219">
        <f t="shared" si="1"/>
        <v>0</v>
      </c>
      <c r="AR16" s="214">
        <f t="shared" si="2"/>
        <v>3500</v>
      </c>
      <c r="AS16" s="159"/>
      <c r="AT16" s="211" t="s">
        <v>808</v>
      </c>
    </row>
    <row r="17" s="164" customFormat="1" ht="45" customHeight="1" spans="1:46">
      <c r="A17" s="111">
        <v>15</v>
      </c>
      <c r="B17" s="184" t="s">
        <v>809</v>
      </c>
      <c r="C17" s="176" t="s">
        <v>810</v>
      </c>
      <c r="D17" s="177">
        <v>45762</v>
      </c>
      <c r="E17" s="20" t="s">
        <v>49</v>
      </c>
      <c r="F17" s="180">
        <v>31</v>
      </c>
      <c r="G17" s="116">
        <v>0</v>
      </c>
      <c r="H17" s="178"/>
      <c r="I17" s="116">
        <v>0</v>
      </c>
      <c r="J17" s="116">
        <v>0</v>
      </c>
      <c r="K17" s="196">
        <v>1</v>
      </c>
      <c r="L17" s="57">
        <v>0</v>
      </c>
      <c r="M17" s="57">
        <v>1</v>
      </c>
      <c r="N17" s="57">
        <v>0</v>
      </c>
      <c r="O17" s="198" t="s">
        <v>808</v>
      </c>
      <c r="P17" s="116">
        <v>0</v>
      </c>
      <c r="Q17" s="116">
        <v>0</v>
      </c>
      <c r="R17" s="116">
        <v>0</v>
      </c>
      <c r="S17" s="207" t="s">
        <v>811</v>
      </c>
      <c r="T17" s="206">
        <v>2000</v>
      </c>
      <c r="U17" s="206">
        <v>700</v>
      </c>
      <c r="V17" s="206">
        <v>600</v>
      </c>
      <c r="W17" s="206">
        <v>500</v>
      </c>
      <c r="X17" s="206">
        <v>300</v>
      </c>
      <c r="Y17" s="206">
        <v>300</v>
      </c>
      <c r="Z17" s="206">
        <v>100</v>
      </c>
      <c r="AA17" s="206">
        <f t="shared" si="0"/>
        <v>4500</v>
      </c>
      <c r="AB17" s="159"/>
      <c r="AC17" s="159"/>
      <c r="AD17" s="213">
        <v>1400</v>
      </c>
      <c r="AE17" s="159"/>
      <c r="AF17" s="159"/>
      <c r="AG17" s="159"/>
      <c r="AH17" s="159"/>
      <c r="AI17" s="159"/>
      <c r="AJ17" s="219">
        <f t="shared" si="3"/>
        <v>5900</v>
      </c>
      <c r="AK17" s="178"/>
      <c r="AL17" s="159"/>
      <c r="AM17" s="219">
        <f t="shared" si="5"/>
        <v>0</v>
      </c>
      <c r="AN17" s="159"/>
      <c r="AO17" s="159"/>
      <c r="AP17" s="159"/>
      <c r="AQ17" s="219">
        <f t="shared" si="1"/>
        <v>0</v>
      </c>
      <c r="AR17" s="214">
        <f t="shared" si="2"/>
        <v>5900</v>
      </c>
      <c r="AS17" s="159"/>
      <c r="AT17" s="211" t="s">
        <v>812</v>
      </c>
    </row>
    <row r="18" s="164" customFormat="1" ht="28" customHeight="1" spans="1:46">
      <c r="A18" s="111">
        <v>16</v>
      </c>
      <c r="B18" s="184" t="s">
        <v>813</v>
      </c>
      <c r="C18" s="176" t="s">
        <v>779</v>
      </c>
      <c r="D18" s="177">
        <v>45763</v>
      </c>
      <c r="E18" s="20" t="s">
        <v>49</v>
      </c>
      <c r="F18" s="180">
        <v>31</v>
      </c>
      <c r="G18" s="116">
        <v>0</v>
      </c>
      <c r="H18" s="178"/>
      <c r="I18" s="116">
        <v>0</v>
      </c>
      <c r="J18" s="116">
        <v>0</v>
      </c>
      <c r="K18" s="196">
        <v>0</v>
      </c>
      <c r="L18" s="57">
        <v>0</v>
      </c>
      <c r="M18" s="57">
        <v>0</v>
      </c>
      <c r="N18" s="57">
        <v>0</v>
      </c>
      <c r="O18" s="198"/>
      <c r="P18" s="116">
        <v>0</v>
      </c>
      <c r="Q18" s="116">
        <v>0</v>
      </c>
      <c r="R18" s="116">
        <v>0</v>
      </c>
      <c r="S18" s="133"/>
      <c r="T18" s="206">
        <v>2000</v>
      </c>
      <c r="U18" s="206">
        <v>500</v>
      </c>
      <c r="V18" s="206">
        <v>500</v>
      </c>
      <c r="W18" s="206">
        <v>200</v>
      </c>
      <c r="X18" s="206">
        <v>100</v>
      </c>
      <c r="Y18" s="206">
        <v>100</v>
      </c>
      <c r="Z18" s="206">
        <v>100</v>
      </c>
      <c r="AA18" s="206">
        <f t="shared" si="0"/>
        <v>3500</v>
      </c>
      <c r="AB18" s="159"/>
      <c r="AC18" s="159"/>
      <c r="AD18" s="213">
        <v>0</v>
      </c>
      <c r="AE18" s="159"/>
      <c r="AF18" s="159"/>
      <c r="AG18" s="159"/>
      <c r="AH18" s="159"/>
      <c r="AI18" s="159"/>
      <c r="AJ18" s="219">
        <f t="shared" si="3"/>
        <v>3500</v>
      </c>
      <c r="AK18" s="178">
        <f t="shared" ref="AK18:AK48" si="7">H18</f>
        <v>0</v>
      </c>
      <c r="AL18" s="159"/>
      <c r="AM18" s="219">
        <f t="shared" si="5"/>
        <v>0</v>
      </c>
      <c r="AN18" s="159"/>
      <c r="AO18" s="159"/>
      <c r="AP18" s="159"/>
      <c r="AQ18" s="219">
        <f t="shared" si="1"/>
        <v>0</v>
      </c>
      <c r="AR18" s="214">
        <f t="shared" si="2"/>
        <v>3500</v>
      </c>
      <c r="AS18" s="159"/>
      <c r="AT18" s="211" t="s">
        <v>256</v>
      </c>
    </row>
    <row r="19" s="164" customFormat="1" ht="28" customHeight="1" spans="1:46">
      <c r="A19" s="111">
        <v>17</v>
      </c>
      <c r="B19" s="185" t="s">
        <v>814</v>
      </c>
      <c r="C19" s="176" t="s">
        <v>779</v>
      </c>
      <c r="D19" s="177">
        <v>45763</v>
      </c>
      <c r="E19" s="31" t="s">
        <v>107</v>
      </c>
      <c r="F19" s="180">
        <v>17</v>
      </c>
      <c r="G19" s="116">
        <v>0</v>
      </c>
      <c r="H19" s="178"/>
      <c r="I19" s="116">
        <v>0</v>
      </c>
      <c r="J19" s="116">
        <v>0</v>
      </c>
      <c r="K19" s="196">
        <v>0</v>
      </c>
      <c r="L19" s="57">
        <v>0</v>
      </c>
      <c r="M19" s="57">
        <v>0</v>
      </c>
      <c r="N19" s="57">
        <v>0</v>
      </c>
      <c r="O19" s="200" t="s">
        <v>815</v>
      </c>
      <c r="P19" s="116">
        <v>0</v>
      </c>
      <c r="Q19" s="116">
        <v>0</v>
      </c>
      <c r="R19" s="116">
        <v>0</v>
      </c>
      <c r="S19" s="133"/>
      <c r="T19" s="206">
        <f>3500/31*17</f>
        <v>1919.35483870968</v>
      </c>
      <c r="U19" s="206"/>
      <c r="V19" s="206"/>
      <c r="W19" s="206"/>
      <c r="X19" s="206"/>
      <c r="Y19" s="206"/>
      <c r="Z19" s="206"/>
      <c r="AA19" s="206">
        <f t="shared" si="0"/>
        <v>1919.35483870968</v>
      </c>
      <c r="AB19" s="159"/>
      <c r="AC19" s="159"/>
      <c r="AD19" s="213">
        <v>0</v>
      </c>
      <c r="AE19" s="159"/>
      <c r="AF19" s="159"/>
      <c r="AG19" s="159"/>
      <c r="AH19" s="159"/>
      <c r="AI19" s="159"/>
      <c r="AJ19" s="219">
        <f t="shared" si="3"/>
        <v>1919.35483870968</v>
      </c>
      <c r="AK19" s="178">
        <f t="shared" si="7"/>
        <v>0</v>
      </c>
      <c r="AL19" s="159"/>
      <c r="AM19" s="219">
        <f t="shared" si="5"/>
        <v>0</v>
      </c>
      <c r="AN19" s="159"/>
      <c r="AO19" s="159"/>
      <c r="AP19" s="159"/>
      <c r="AQ19" s="219">
        <f t="shared" si="1"/>
        <v>0</v>
      </c>
      <c r="AR19" s="214">
        <f t="shared" si="2"/>
        <v>1919.35483870968</v>
      </c>
      <c r="AS19" s="159"/>
      <c r="AT19" s="211" t="s">
        <v>815</v>
      </c>
    </row>
    <row r="20" s="164" customFormat="1" ht="28" customHeight="1" spans="1:46">
      <c r="A20" s="111">
        <v>18</v>
      </c>
      <c r="B20" s="184" t="s">
        <v>816</v>
      </c>
      <c r="C20" s="176" t="s">
        <v>779</v>
      </c>
      <c r="D20" s="177">
        <v>45765</v>
      </c>
      <c r="E20" s="20" t="s">
        <v>49</v>
      </c>
      <c r="F20" s="180">
        <v>31</v>
      </c>
      <c r="G20" s="116">
        <v>0</v>
      </c>
      <c r="H20" s="178"/>
      <c r="I20" s="116">
        <v>0</v>
      </c>
      <c r="J20" s="116">
        <v>0</v>
      </c>
      <c r="K20" s="196">
        <v>1</v>
      </c>
      <c r="L20" s="57">
        <v>1</v>
      </c>
      <c r="M20" s="57">
        <v>0</v>
      </c>
      <c r="N20" s="57">
        <v>2</v>
      </c>
      <c r="O20" s="198" t="s">
        <v>804</v>
      </c>
      <c r="P20" s="116">
        <v>0</v>
      </c>
      <c r="Q20" s="116">
        <v>0</v>
      </c>
      <c r="R20" s="116">
        <v>0</v>
      </c>
      <c r="S20" s="133"/>
      <c r="T20" s="206">
        <v>2000</v>
      </c>
      <c r="U20" s="206">
        <v>500</v>
      </c>
      <c r="V20" s="206">
        <v>500</v>
      </c>
      <c r="W20" s="206">
        <v>200</v>
      </c>
      <c r="X20" s="206">
        <v>100</v>
      </c>
      <c r="Y20" s="206">
        <v>100</v>
      </c>
      <c r="Z20" s="206">
        <v>100</v>
      </c>
      <c r="AA20" s="206">
        <f t="shared" si="0"/>
        <v>3500</v>
      </c>
      <c r="AB20" s="159"/>
      <c r="AC20" s="159"/>
      <c r="AD20" s="213">
        <v>0</v>
      </c>
      <c r="AE20" s="159"/>
      <c r="AF20" s="159"/>
      <c r="AG20" s="159"/>
      <c r="AH20" s="159"/>
      <c r="AI20" s="159"/>
      <c r="AJ20" s="219">
        <f t="shared" si="3"/>
        <v>3500</v>
      </c>
      <c r="AK20" s="178">
        <f t="shared" si="7"/>
        <v>0</v>
      </c>
      <c r="AL20" s="159"/>
      <c r="AM20" s="219">
        <f t="shared" si="5"/>
        <v>0</v>
      </c>
      <c r="AN20" s="159"/>
      <c r="AO20" s="159"/>
      <c r="AP20" s="159"/>
      <c r="AQ20" s="219">
        <f t="shared" si="1"/>
        <v>0</v>
      </c>
      <c r="AR20" s="214">
        <f t="shared" si="2"/>
        <v>3500</v>
      </c>
      <c r="AS20" s="159"/>
      <c r="AT20" s="211" t="s">
        <v>804</v>
      </c>
    </row>
    <row r="21" s="164" customFormat="1" ht="28" customHeight="1" spans="1:46">
      <c r="A21" s="111">
        <v>19</v>
      </c>
      <c r="B21" s="185" t="s">
        <v>817</v>
      </c>
      <c r="C21" s="176" t="s">
        <v>779</v>
      </c>
      <c r="D21" s="177">
        <v>45765</v>
      </c>
      <c r="E21" s="31" t="s">
        <v>107</v>
      </c>
      <c r="F21" s="180">
        <v>7</v>
      </c>
      <c r="G21" s="116">
        <v>0</v>
      </c>
      <c r="H21" s="178"/>
      <c r="I21" s="116">
        <v>0</v>
      </c>
      <c r="J21" s="116">
        <v>0</v>
      </c>
      <c r="K21" s="196">
        <v>1</v>
      </c>
      <c r="L21" s="57">
        <v>0</v>
      </c>
      <c r="M21" s="57">
        <v>1</v>
      </c>
      <c r="N21" s="57">
        <v>0</v>
      </c>
      <c r="O21" s="200" t="s">
        <v>818</v>
      </c>
      <c r="P21" s="116">
        <v>0</v>
      </c>
      <c r="Q21" s="116">
        <v>0</v>
      </c>
      <c r="R21" s="116">
        <v>0</v>
      </c>
      <c r="S21" s="133"/>
      <c r="T21" s="206">
        <f>3500/31*7</f>
        <v>790.322580645161</v>
      </c>
      <c r="U21" s="206"/>
      <c r="V21" s="206"/>
      <c r="W21" s="206"/>
      <c r="X21" s="206"/>
      <c r="Y21" s="206"/>
      <c r="Z21" s="206"/>
      <c r="AA21" s="206">
        <f t="shared" si="0"/>
        <v>790.322580645161</v>
      </c>
      <c r="AB21" s="159"/>
      <c r="AC21" s="159"/>
      <c r="AD21" s="213">
        <v>0</v>
      </c>
      <c r="AE21" s="159"/>
      <c r="AF21" s="159"/>
      <c r="AG21" s="159"/>
      <c r="AH21" s="159"/>
      <c r="AI21" s="159"/>
      <c r="AJ21" s="219">
        <f t="shared" si="3"/>
        <v>790.322580645161</v>
      </c>
      <c r="AK21" s="178">
        <f t="shared" si="7"/>
        <v>0</v>
      </c>
      <c r="AL21" s="159"/>
      <c r="AM21" s="219">
        <f t="shared" si="5"/>
        <v>0</v>
      </c>
      <c r="AN21" s="159"/>
      <c r="AO21" s="159"/>
      <c r="AP21" s="159"/>
      <c r="AQ21" s="219">
        <f t="shared" si="1"/>
        <v>0</v>
      </c>
      <c r="AR21" s="214">
        <f t="shared" si="2"/>
        <v>790.322580645161</v>
      </c>
      <c r="AS21" s="159"/>
      <c r="AT21" s="211" t="s">
        <v>818</v>
      </c>
    </row>
    <row r="22" s="164" customFormat="1" ht="28" customHeight="1" spans="1:46">
      <c r="A22" s="111">
        <v>20</v>
      </c>
      <c r="B22" s="184" t="s">
        <v>819</v>
      </c>
      <c r="C22" s="176" t="s">
        <v>779</v>
      </c>
      <c r="D22" s="177">
        <v>45765</v>
      </c>
      <c r="E22" s="20" t="s">
        <v>49</v>
      </c>
      <c r="F22" s="180">
        <v>31</v>
      </c>
      <c r="G22" s="116">
        <v>0</v>
      </c>
      <c r="H22" s="178"/>
      <c r="I22" s="116">
        <v>0</v>
      </c>
      <c r="J22" s="116">
        <v>0</v>
      </c>
      <c r="K22" s="196">
        <v>1</v>
      </c>
      <c r="L22" s="57">
        <v>1</v>
      </c>
      <c r="M22" s="57">
        <v>1</v>
      </c>
      <c r="N22" s="57">
        <v>1</v>
      </c>
      <c r="O22" s="198" t="s">
        <v>820</v>
      </c>
      <c r="P22" s="116">
        <v>0</v>
      </c>
      <c r="Q22" s="116">
        <v>0</v>
      </c>
      <c r="R22" s="116">
        <v>0</v>
      </c>
      <c r="S22" s="133"/>
      <c r="T22" s="206">
        <v>2000</v>
      </c>
      <c r="U22" s="206">
        <v>500</v>
      </c>
      <c r="V22" s="206">
        <v>500</v>
      </c>
      <c r="W22" s="206">
        <v>200</v>
      </c>
      <c r="X22" s="206">
        <v>100</v>
      </c>
      <c r="Y22" s="206">
        <v>100</v>
      </c>
      <c r="Z22" s="206">
        <v>100</v>
      </c>
      <c r="AA22" s="206">
        <f t="shared" si="0"/>
        <v>3500</v>
      </c>
      <c r="AB22" s="159"/>
      <c r="AC22" s="159"/>
      <c r="AD22" s="213">
        <v>0</v>
      </c>
      <c r="AE22" s="159"/>
      <c r="AF22" s="159"/>
      <c r="AG22" s="159"/>
      <c r="AH22" s="159"/>
      <c r="AI22" s="159"/>
      <c r="AJ22" s="219">
        <f t="shared" si="3"/>
        <v>3500</v>
      </c>
      <c r="AK22" s="178">
        <f t="shared" si="7"/>
        <v>0</v>
      </c>
      <c r="AL22" s="159"/>
      <c r="AM22" s="219">
        <f t="shared" si="5"/>
        <v>0</v>
      </c>
      <c r="AN22" s="159"/>
      <c r="AO22" s="159"/>
      <c r="AP22" s="159"/>
      <c r="AQ22" s="219">
        <f t="shared" si="1"/>
        <v>0</v>
      </c>
      <c r="AR22" s="214">
        <f t="shared" si="2"/>
        <v>3500</v>
      </c>
      <c r="AS22" s="159"/>
      <c r="AT22" s="211" t="s">
        <v>820</v>
      </c>
    </row>
    <row r="23" s="164" customFormat="1" ht="28" customHeight="1" spans="1:46">
      <c r="A23" s="111">
        <v>21</v>
      </c>
      <c r="B23" s="184" t="s">
        <v>821</v>
      </c>
      <c r="C23" s="176" t="s">
        <v>779</v>
      </c>
      <c r="D23" s="177">
        <v>45765</v>
      </c>
      <c r="E23" s="20" t="s">
        <v>49</v>
      </c>
      <c r="F23" s="180">
        <v>31</v>
      </c>
      <c r="G23" s="116">
        <v>0</v>
      </c>
      <c r="H23" s="178"/>
      <c r="I23" s="116">
        <v>0</v>
      </c>
      <c r="J23" s="116">
        <v>0</v>
      </c>
      <c r="K23" s="196">
        <v>1</v>
      </c>
      <c r="L23" s="57">
        <v>1</v>
      </c>
      <c r="M23" s="57">
        <v>1</v>
      </c>
      <c r="N23" s="57">
        <v>1</v>
      </c>
      <c r="O23" s="198" t="s">
        <v>822</v>
      </c>
      <c r="P23" s="116">
        <v>0</v>
      </c>
      <c r="Q23" s="116">
        <v>0</v>
      </c>
      <c r="R23" s="116">
        <v>0</v>
      </c>
      <c r="S23" s="133"/>
      <c r="T23" s="206">
        <v>2000</v>
      </c>
      <c r="U23" s="206">
        <v>500</v>
      </c>
      <c r="V23" s="206">
        <v>500</v>
      </c>
      <c r="W23" s="206">
        <v>200</v>
      </c>
      <c r="X23" s="206">
        <v>100</v>
      </c>
      <c r="Y23" s="206">
        <v>100</v>
      </c>
      <c r="Z23" s="206">
        <v>100</v>
      </c>
      <c r="AA23" s="206">
        <f t="shared" si="0"/>
        <v>3500</v>
      </c>
      <c r="AB23" s="159"/>
      <c r="AC23" s="159"/>
      <c r="AD23" s="213">
        <v>0</v>
      </c>
      <c r="AE23" s="159"/>
      <c r="AF23" s="159"/>
      <c r="AG23" s="159"/>
      <c r="AH23" s="159"/>
      <c r="AI23" s="159"/>
      <c r="AJ23" s="219">
        <f t="shared" si="3"/>
        <v>3500</v>
      </c>
      <c r="AK23" s="178">
        <f t="shared" si="7"/>
        <v>0</v>
      </c>
      <c r="AL23" s="159"/>
      <c r="AM23" s="219">
        <f t="shared" si="5"/>
        <v>0</v>
      </c>
      <c r="AN23" s="159"/>
      <c r="AO23" s="159"/>
      <c r="AP23" s="159"/>
      <c r="AQ23" s="219">
        <f t="shared" si="1"/>
        <v>0</v>
      </c>
      <c r="AR23" s="214">
        <f t="shared" si="2"/>
        <v>3500</v>
      </c>
      <c r="AS23" s="159"/>
      <c r="AT23" s="211" t="s">
        <v>822</v>
      </c>
    </row>
    <row r="24" s="165" customFormat="1" ht="28" customHeight="1" spans="1:46">
      <c r="A24" s="111">
        <v>22</v>
      </c>
      <c r="B24" s="184" t="s">
        <v>823</v>
      </c>
      <c r="C24" s="176" t="s">
        <v>779</v>
      </c>
      <c r="D24" s="177">
        <v>45765</v>
      </c>
      <c r="E24" s="20" t="s">
        <v>49</v>
      </c>
      <c r="F24" s="180">
        <v>31</v>
      </c>
      <c r="G24" s="116">
        <v>0</v>
      </c>
      <c r="H24" s="178"/>
      <c r="I24" s="116">
        <v>0</v>
      </c>
      <c r="J24" s="116">
        <v>0</v>
      </c>
      <c r="K24" s="196">
        <v>1</v>
      </c>
      <c r="L24" s="57">
        <v>1</v>
      </c>
      <c r="M24" s="57">
        <v>1</v>
      </c>
      <c r="N24" s="57">
        <v>1</v>
      </c>
      <c r="O24" s="198" t="s">
        <v>824</v>
      </c>
      <c r="P24" s="116">
        <v>0</v>
      </c>
      <c r="Q24" s="116">
        <v>0</v>
      </c>
      <c r="R24" s="116">
        <v>0</v>
      </c>
      <c r="S24" s="207" t="s">
        <v>825</v>
      </c>
      <c r="T24" s="206">
        <v>2000</v>
      </c>
      <c r="U24" s="206">
        <v>500</v>
      </c>
      <c r="V24" s="206">
        <v>500</v>
      </c>
      <c r="W24" s="206">
        <v>200</v>
      </c>
      <c r="X24" s="206">
        <v>100</v>
      </c>
      <c r="Y24" s="206">
        <v>100</v>
      </c>
      <c r="Z24" s="206">
        <v>100</v>
      </c>
      <c r="AA24" s="206">
        <f t="shared" si="0"/>
        <v>3500</v>
      </c>
      <c r="AB24" s="151"/>
      <c r="AC24" s="151"/>
      <c r="AD24" s="213">
        <v>4160</v>
      </c>
      <c r="AE24" s="151"/>
      <c r="AF24" s="151"/>
      <c r="AG24" s="151"/>
      <c r="AH24" s="151"/>
      <c r="AI24" s="151"/>
      <c r="AJ24" s="220">
        <f t="shared" si="3"/>
        <v>7660</v>
      </c>
      <c r="AK24" s="178">
        <f t="shared" si="7"/>
        <v>0</v>
      </c>
      <c r="AL24" s="151"/>
      <c r="AM24" s="219">
        <f t="shared" si="5"/>
        <v>0</v>
      </c>
      <c r="AN24" s="151"/>
      <c r="AO24" s="151"/>
      <c r="AP24" s="151"/>
      <c r="AQ24" s="219">
        <f t="shared" si="1"/>
        <v>0</v>
      </c>
      <c r="AR24" s="214">
        <f t="shared" si="2"/>
        <v>7660</v>
      </c>
      <c r="AS24" s="151"/>
      <c r="AT24" s="211" t="s">
        <v>826</v>
      </c>
    </row>
    <row r="25" s="164" customFormat="1" ht="28" customHeight="1" spans="1:46">
      <c r="A25" s="111">
        <v>23</v>
      </c>
      <c r="B25" s="184" t="s">
        <v>827</v>
      </c>
      <c r="C25" s="176" t="s">
        <v>779</v>
      </c>
      <c r="D25" s="177">
        <v>45765</v>
      </c>
      <c r="E25" s="20" t="s">
        <v>49</v>
      </c>
      <c r="F25" s="180">
        <v>31</v>
      </c>
      <c r="G25" s="116">
        <v>0</v>
      </c>
      <c r="H25" s="178"/>
      <c r="I25" s="116">
        <v>0</v>
      </c>
      <c r="J25" s="116">
        <v>0</v>
      </c>
      <c r="K25" s="196">
        <v>1</v>
      </c>
      <c r="L25" s="57">
        <v>1</v>
      </c>
      <c r="M25" s="57">
        <v>1</v>
      </c>
      <c r="N25" s="57">
        <v>1</v>
      </c>
      <c r="O25" s="198" t="s">
        <v>822</v>
      </c>
      <c r="P25" s="116">
        <v>0</v>
      </c>
      <c r="Q25" s="116">
        <v>0</v>
      </c>
      <c r="R25" s="116">
        <v>0</v>
      </c>
      <c r="S25" s="133"/>
      <c r="T25" s="206">
        <v>2000</v>
      </c>
      <c r="U25" s="206">
        <v>500</v>
      </c>
      <c r="V25" s="206">
        <v>500</v>
      </c>
      <c r="W25" s="206">
        <v>200</v>
      </c>
      <c r="X25" s="206">
        <v>100</v>
      </c>
      <c r="Y25" s="206">
        <v>100</v>
      </c>
      <c r="Z25" s="206">
        <v>100</v>
      </c>
      <c r="AA25" s="206">
        <f t="shared" si="0"/>
        <v>3500</v>
      </c>
      <c r="AB25" s="159"/>
      <c r="AC25" s="159"/>
      <c r="AD25" s="213">
        <v>0</v>
      </c>
      <c r="AE25" s="159"/>
      <c r="AF25" s="159"/>
      <c r="AG25" s="159"/>
      <c r="AH25" s="159"/>
      <c r="AI25" s="159"/>
      <c r="AJ25" s="219">
        <f t="shared" si="3"/>
        <v>3500</v>
      </c>
      <c r="AK25" s="178">
        <f t="shared" si="7"/>
        <v>0</v>
      </c>
      <c r="AL25" s="159"/>
      <c r="AM25" s="219">
        <f t="shared" si="5"/>
        <v>0</v>
      </c>
      <c r="AN25" s="159"/>
      <c r="AO25" s="159"/>
      <c r="AP25" s="159"/>
      <c r="AQ25" s="219">
        <f t="shared" si="1"/>
        <v>0</v>
      </c>
      <c r="AR25" s="214">
        <f t="shared" si="2"/>
        <v>3500</v>
      </c>
      <c r="AS25" s="159"/>
      <c r="AT25" s="211" t="s">
        <v>822</v>
      </c>
    </row>
    <row r="26" s="164" customFormat="1" ht="28" customHeight="1" spans="1:46">
      <c r="A26" s="111">
        <v>24</v>
      </c>
      <c r="B26" s="184" t="s">
        <v>828</v>
      </c>
      <c r="C26" s="176" t="s">
        <v>779</v>
      </c>
      <c r="D26" s="177">
        <v>45765</v>
      </c>
      <c r="E26" s="20" t="s">
        <v>49</v>
      </c>
      <c r="F26" s="180">
        <v>31</v>
      </c>
      <c r="G26" s="116">
        <v>0</v>
      </c>
      <c r="H26" s="178"/>
      <c r="I26" s="116">
        <v>0</v>
      </c>
      <c r="J26" s="116">
        <v>0</v>
      </c>
      <c r="K26" s="196">
        <v>1</v>
      </c>
      <c r="L26" s="57">
        <v>0</v>
      </c>
      <c r="M26" s="57">
        <v>1</v>
      </c>
      <c r="N26" s="57">
        <v>0</v>
      </c>
      <c r="O26" s="198" t="s">
        <v>829</v>
      </c>
      <c r="P26" s="116">
        <v>0</v>
      </c>
      <c r="Q26" s="116">
        <v>0</v>
      </c>
      <c r="R26" s="116">
        <v>0</v>
      </c>
      <c r="S26" s="133"/>
      <c r="T26" s="206">
        <v>2000</v>
      </c>
      <c r="U26" s="206">
        <v>500</v>
      </c>
      <c r="V26" s="206">
        <v>500</v>
      </c>
      <c r="W26" s="206">
        <v>200</v>
      </c>
      <c r="X26" s="206">
        <v>100</v>
      </c>
      <c r="Y26" s="206">
        <v>100</v>
      </c>
      <c r="Z26" s="206">
        <v>100</v>
      </c>
      <c r="AA26" s="206">
        <f t="shared" si="0"/>
        <v>3500</v>
      </c>
      <c r="AB26" s="159"/>
      <c r="AC26" s="159"/>
      <c r="AD26" s="213">
        <v>0</v>
      </c>
      <c r="AE26" s="159"/>
      <c r="AF26" s="159"/>
      <c r="AG26" s="159"/>
      <c r="AH26" s="159"/>
      <c r="AI26" s="159"/>
      <c r="AJ26" s="219">
        <f t="shared" si="3"/>
        <v>3500</v>
      </c>
      <c r="AK26" s="178">
        <f t="shared" si="7"/>
        <v>0</v>
      </c>
      <c r="AL26" s="159"/>
      <c r="AM26" s="219">
        <f t="shared" si="5"/>
        <v>0</v>
      </c>
      <c r="AN26" s="159"/>
      <c r="AO26" s="159"/>
      <c r="AP26" s="159"/>
      <c r="AQ26" s="219">
        <f t="shared" si="1"/>
        <v>0</v>
      </c>
      <c r="AR26" s="214">
        <f t="shared" si="2"/>
        <v>3500</v>
      </c>
      <c r="AS26" s="159"/>
      <c r="AT26" s="211" t="s">
        <v>829</v>
      </c>
    </row>
    <row r="27" s="164" customFormat="1" ht="28" customHeight="1" spans="1:46">
      <c r="A27" s="111">
        <v>25</v>
      </c>
      <c r="B27" s="184" t="s">
        <v>830</v>
      </c>
      <c r="C27" s="176" t="s">
        <v>779</v>
      </c>
      <c r="D27" s="177">
        <v>45765</v>
      </c>
      <c r="E27" s="20" t="s">
        <v>49</v>
      </c>
      <c r="F27" s="180">
        <v>31</v>
      </c>
      <c r="G27" s="116">
        <v>0</v>
      </c>
      <c r="H27" s="178"/>
      <c r="I27" s="116">
        <v>0</v>
      </c>
      <c r="J27" s="116">
        <v>0</v>
      </c>
      <c r="K27" s="196">
        <v>1</v>
      </c>
      <c r="L27" s="57">
        <v>0</v>
      </c>
      <c r="M27" s="57">
        <v>1</v>
      </c>
      <c r="N27" s="57">
        <v>0</v>
      </c>
      <c r="O27" s="198" t="s">
        <v>829</v>
      </c>
      <c r="P27" s="116">
        <v>0</v>
      </c>
      <c r="Q27" s="116">
        <v>0</v>
      </c>
      <c r="R27" s="116">
        <v>0</v>
      </c>
      <c r="S27" s="133"/>
      <c r="T27" s="206">
        <v>2000</v>
      </c>
      <c r="U27" s="206">
        <v>500</v>
      </c>
      <c r="V27" s="206">
        <v>500</v>
      </c>
      <c r="W27" s="206">
        <v>200</v>
      </c>
      <c r="X27" s="206">
        <v>100</v>
      </c>
      <c r="Y27" s="206">
        <v>100</v>
      </c>
      <c r="Z27" s="206">
        <v>100</v>
      </c>
      <c r="AA27" s="206">
        <f t="shared" si="0"/>
        <v>3500</v>
      </c>
      <c r="AB27" s="159"/>
      <c r="AC27" s="159"/>
      <c r="AD27" s="213">
        <v>0</v>
      </c>
      <c r="AE27" s="159"/>
      <c r="AF27" s="159"/>
      <c r="AG27" s="159"/>
      <c r="AH27" s="159"/>
      <c r="AI27" s="159"/>
      <c r="AJ27" s="219">
        <f t="shared" si="3"/>
        <v>3500</v>
      </c>
      <c r="AK27" s="178">
        <f t="shared" si="7"/>
        <v>0</v>
      </c>
      <c r="AL27" s="159"/>
      <c r="AM27" s="219">
        <f t="shared" si="5"/>
        <v>0</v>
      </c>
      <c r="AN27" s="159"/>
      <c r="AO27" s="159"/>
      <c r="AP27" s="159"/>
      <c r="AQ27" s="219">
        <f t="shared" si="1"/>
        <v>0</v>
      </c>
      <c r="AR27" s="214">
        <f t="shared" si="2"/>
        <v>3500</v>
      </c>
      <c r="AS27" s="159"/>
      <c r="AT27" s="211" t="s">
        <v>829</v>
      </c>
    </row>
    <row r="28" s="164" customFormat="1" ht="48" customHeight="1" spans="1:46">
      <c r="A28" s="111">
        <v>26</v>
      </c>
      <c r="B28" s="185" t="s">
        <v>831</v>
      </c>
      <c r="C28" s="176" t="s">
        <v>779</v>
      </c>
      <c r="D28" s="177">
        <v>45765</v>
      </c>
      <c r="E28" s="31" t="s">
        <v>107</v>
      </c>
      <c r="F28" s="180">
        <v>11</v>
      </c>
      <c r="G28" s="116">
        <v>0</v>
      </c>
      <c r="H28" s="178"/>
      <c r="I28" s="116">
        <v>0</v>
      </c>
      <c r="J28" s="116">
        <v>0</v>
      </c>
      <c r="K28" s="196">
        <v>1</v>
      </c>
      <c r="L28" s="57">
        <v>0</v>
      </c>
      <c r="M28" s="57">
        <v>0</v>
      </c>
      <c r="N28" s="57">
        <v>1</v>
      </c>
      <c r="O28" s="200" t="s">
        <v>832</v>
      </c>
      <c r="P28" s="116">
        <v>0</v>
      </c>
      <c r="Q28" s="116">
        <v>0</v>
      </c>
      <c r="R28" s="116">
        <v>0</v>
      </c>
      <c r="S28" s="133"/>
      <c r="T28" s="206">
        <f>3500/31*11</f>
        <v>1241.93548387097</v>
      </c>
      <c r="U28" s="206"/>
      <c r="V28" s="206"/>
      <c r="W28" s="206"/>
      <c r="X28" s="206"/>
      <c r="Y28" s="206"/>
      <c r="Z28" s="206"/>
      <c r="AA28" s="206">
        <f t="shared" si="0"/>
        <v>1241.93548387097</v>
      </c>
      <c r="AB28" s="159"/>
      <c r="AC28" s="159">
        <f>3500/31*1</f>
        <v>112.903225806452</v>
      </c>
      <c r="AD28" s="213">
        <v>0</v>
      </c>
      <c r="AE28" s="159"/>
      <c r="AF28" s="159"/>
      <c r="AG28" s="159"/>
      <c r="AH28" s="159"/>
      <c r="AI28" s="159"/>
      <c r="AJ28" s="219">
        <f t="shared" si="3"/>
        <v>1354.83870967742</v>
      </c>
      <c r="AK28" s="178">
        <f t="shared" si="7"/>
        <v>0</v>
      </c>
      <c r="AL28" s="159"/>
      <c r="AM28" s="219">
        <f t="shared" si="5"/>
        <v>0</v>
      </c>
      <c r="AN28" s="159"/>
      <c r="AO28" s="159"/>
      <c r="AP28" s="159"/>
      <c r="AQ28" s="219">
        <f t="shared" si="1"/>
        <v>0</v>
      </c>
      <c r="AR28" s="214">
        <f t="shared" si="2"/>
        <v>1354.83870967742</v>
      </c>
      <c r="AS28" s="159"/>
      <c r="AT28" s="211" t="s">
        <v>832</v>
      </c>
    </row>
    <row r="29" s="164" customFormat="1" ht="28" customHeight="1" spans="1:46">
      <c r="A29" s="111">
        <v>27</v>
      </c>
      <c r="B29" s="184" t="s">
        <v>833</v>
      </c>
      <c r="C29" s="176" t="s">
        <v>779</v>
      </c>
      <c r="D29" s="177">
        <v>45765</v>
      </c>
      <c r="E29" s="20" t="s">
        <v>49</v>
      </c>
      <c r="F29" s="180">
        <v>31</v>
      </c>
      <c r="G29" s="116">
        <v>0</v>
      </c>
      <c r="H29" s="178"/>
      <c r="I29" s="116">
        <v>0</v>
      </c>
      <c r="J29" s="116">
        <v>0</v>
      </c>
      <c r="K29" s="196">
        <v>1</v>
      </c>
      <c r="L29" s="57">
        <v>0</v>
      </c>
      <c r="M29" s="57">
        <v>1</v>
      </c>
      <c r="N29" s="57">
        <v>0</v>
      </c>
      <c r="O29" s="198" t="s">
        <v>829</v>
      </c>
      <c r="P29" s="116">
        <v>0</v>
      </c>
      <c r="Q29" s="116">
        <v>0</v>
      </c>
      <c r="R29" s="116">
        <v>0</v>
      </c>
      <c r="S29" s="133"/>
      <c r="T29" s="206">
        <v>2000</v>
      </c>
      <c r="U29" s="206">
        <v>500</v>
      </c>
      <c r="V29" s="206">
        <v>500</v>
      </c>
      <c r="W29" s="206">
        <v>200</v>
      </c>
      <c r="X29" s="206">
        <v>100</v>
      </c>
      <c r="Y29" s="206">
        <v>100</v>
      </c>
      <c r="Z29" s="206">
        <v>100</v>
      </c>
      <c r="AA29" s="206">
        <f t="shared" si="0"/>
        <v>3500</v>
      </c>
      <c r="AB29" s="159"/>
      <c r="AC29" s="159"/>
      <c r="AD29" s="213">
        <v>0</v>
      </c>
      <c r="AE29" s="159"/>
      <c r="AF29" s="159"/>
      <c r="AG29" s="159"/>
      <c r="AH29" s="159"/>
      <c r="AI29" s="159"/>
      <c r="AJ29" s="219">
        <f t="shared" si="3"/>
        <v>3500</v>
      </c>
      <c r="AK29" s="178">
        <f t="shared" si="7"/>
        <v>0</v>
      </c>
      <c r="AL29" s="159"/>
      <c r="AM29" s="219">
        <f t="shared" si="5"/>
        <v>0</v>
      </c>
      <c r="AN29" s="159"/>
      <c r="AO29" s="159"/>
      <c r="AP29" s="159"/>
      <c r="AQ29" s="219">
        <f t="shared" si="1"/>
        <v>0</v>
      </c>
      <c r="AR29" s="214">
        <f t="shared" si="2"/>
        <v>3500</v>
      </c>
      <c r="AS29" s="159"/>
      <c r="AT29" s="211" t="s">
        <v>829</v>
      </c>
    </row>
    <row r="30" s="164" customFormat="1" ht="46" customHeight="1" spans="1:46">
      <c r="A30" s="111">
        <v>28</v>
      </c>
      <c r="B30" s="185" t="s">
        <v>834</v>
      </c>
      <c r="C30" s="176" t="s">
        <v>779</v>
      </c>
      <c r="D30" s="177">
        <v>45763</v>
      </c>
      <c r="E30" s="31" t="s">
        <v>107</v>
      </c>
      <c r="F30" s="180">
        <v>14</v>
      </c>
      <c r="G30" s="116">
        <v>0</v>
      </c>
      <c r="H30" s="178"/>
      <c r="I30" s="116">
        <v>0</v>
      </c>
      <c r="J30" s="116">
        <v>0</v>
      </c>
      <c r="K30" s="196">
        <v>1</v>
      </c>
      <c r="L30" s="57">
        <v>0</v>
      </c>
      <c r="M30" s="57">
        <v>1</v>
      </c>
      <c r="N30" s="57">
        <v>0</v>
      </c>
      <c r="O30" s="200" t="s">
        <v>835</v>
      </c>
      <c r="P30" s="116">
        <v>0</v>
      </c>
      <c r="Q30" s="116">
        <v>0</v>
      </c>
      <c r="R30" s="116">
        <v>0</v>
      </c>
      <c r="S30" s="207" t="s">
        <v>836</v>
      </c>
      <c r="T30" s="206">
        <f>3500/31*14</f>
        <v>1580.64516129032</v>
      </c>
      <c r="U30" s="206"/>
      <c r="V30" s="206"/>
      <c r="W30" s="206"/>
      <c r="X30" s="206"/>
      <c r="Y30" s="206"/>
      <c r="Z30" s="159"/>
      <c r="AA30" s="206">
        <f t="shared" si="0"/>
        <v>1580.64516129032</v>
      </c>
      <c r="AB30" s="159"/>
      <c r="AC30" s="159"/>
      <c r="AD30" s="206">
        <v>225.8</v>
      </c>
      <c r="AE30" s="159"/>
      <c r="AF30" s="159"/>
      <c r="AG30" s="159"/>
      <c r="AH30" s="159"/>
      <c r="AI30" s="159"/>
      <c r="AJ30" s="219">
        <f t="shared" si="3"/>
        <v>1806.44516129032</v>
      </c>
      <c r="AK30" s="178">
        <f t="shared" si="7"/>
        <v>0</v>
      </c>
      <c r="AL30" s="159"/>
      <c r="AM30" s="219">
        <f t="shared" si="5"/>
        <v>0</v>
      </c>
      <c r="AN30" s="159"/>
      <c r="AO30" s="159"/>
      <c r="AP30" s="159"/>
      <c r="AQ30" s="219">
        <f t="shared" si="1"/>
        <v>0</v>
      </c>
      <c r="AR30" s="214">
        <f t="shared" si="2"/>
        <v>1806.44516129032</v>
      </c>
      <c r="AS30" s="159"/>
      <c r="AT30" s="211" t="s">
        <v>837</v>
      </c>
    </row>
    <row r="31" s="164" customFormat="1" ht="44" customHeight="1" spans="1:46">
      <c r="A31" s="111">
        <v>29</v>
      </c>
      <c r="B31" s="184" t="s">
        <v>838</v>
      </c>
      <c r="C31" s="176" t="s">
        <v>839</v>
      </c>
      <c r="D31" s="177">
        <v>45763</v>
      </c>
      <c r="E31" s="20" t="s">
        <v>49</v>
      </c>
      <c r="F31" s="180">
        <v>31</v>
      </c>
      <c r="G31" s="116">
        <v>0</v>
      </c>
      <c r="H31" s="178"/>
      <c r="I31" s="116">
        <v>0</v>
      </c>
      <c r="J31" s="116">
        <v>0</v>
      </c>
      <c r="K31" s="196">
        <v>2</v>
      </c>
      <c r="L31" s="57">
        <v>1</v>
      </c>
      <c r="M31" s="57">
        <v>2</v>
      </c>
      <c r="N31" s="57">
        <v>1</v>
      </c>
      <c r="O31" s="198" t="s">
        <v>840</v>
      </c>
      <c r="P31" s="116">
        <v>0</v>
      </c>
      <c r="Q31" s="116">
        <v>0</v>
      </c>
      <c r="R31" s="116">
        <v>0</v>
      </c>
      <c r="S31" s="207" t="s">
        <v>841</v>
      </c>
      <c r="T31" s="206">
        <v>2000</v>
      </c>
      <c r="U31" s="206">
        <v>800</v>
      </c>
      <c r="V31" s="206">
        <v>500</v>
      </c>
      <c r="W31" s="206">
        <v>200</v>
      </c>
      <c r="X31" s="206">
        <v>100</v>
      </c>
      <c r="Y31" s="206">
        <v>100</v>
      </c>
      <c r="Z31" s="206">
        <v>100</v>
      </c>
      <c r="AA31" s="206">
        <f t="shared" si="0"/>
        <v>3800</v>
      </c>
      <c r="AB31" s="159"/>
      <c r="AC31" s="159"/>
      <c r="AD31" s="213">
        <v>0</v>
      </c>
      <c r="AE31" s="159"/>
      <c r="AF31" s="159"/>
      <c r="AG31" s="159"/>
      <c r="AH31" s="159"/>
      <c r="AI31" s="159"/>
      <c r="AJ31" s="219">
        <f t="shared" si="3"/>
        <v>3800</v>
      </c>
      <c r="AK31" s="178">
        <f t="shared" si="7"/>
        <v>0</v>
      </c>
      <c r="AL31" s="159"/>
      <c r="AM31" s="219">
        <f t="shared" si="5"/>
        <v>0</v>
      </c>
      <c r="AN31" s="159"/>
      <c r="AO31" s="159"/>
      <c r="AP31" s="159"/>
      <c r="AQ31" s="219">
        <f t="shared" si="1"/>
        <v>0</v>
      </c>
      <c r="AR31" s="214">
        <f t="shared" si="2"/>
        <v>3800</v>
      </c>
      <c r="AS31" s="159"/>
      <c r="AT31" s="211" t="s">
        <v>842</v>
      </c>
    </row>
    <row r="32" s="164" customFormat="1" ht="28" customHeight="1" spans="1:46">
      <c r="A32" s="111">
        <v>30</v>
      </c>
      <c r="B32" s="184" t="s">
        <v>843</v>
      </c>
      <c r="C32" s="176" t="s">
        <v>779</v>
      </c>
      <c r="D32" s="177">
        <v>45765</v>
      </c>
      <c r="E32" s="20" t="s">
        <v>49</v>
      </c>
      <c r="F32" s="180">
        <v>31</v>
      </c>
      <c r="G32" s="116">
        <v>0</v>
      </c>
      <c r="H32" s="27">
        <v>1</v>
      </c>
      <c r="I32" s="116">
        <v>0</v>
      </c>
      <c r="J32" s="116">
        <v>0</v>
      </c>
      <c r="K32" s="196">
        <v>0</v>
      </c>
      <c r="L32" s="57">
        <v>0</v>
      </c>
      <c r="M32" s="57">
        <v>0</v>
      </c>
      <c r="N32" s="57">
        <v>0</v>
      </c>
      <c r="O32" s="198" t="s">
        <v>844</v>
      </c>
      <c r="P32" s="116">
        <v>0</v>
      </c>
      <c r="Q32" s="116">
        <v>0</v>
      </c>
      <c r="R32" s="116">
        <v>0</v>
      </c>
      <c r="S32" s="133"/>
      <c r="T32" s="206">
        <v>2000</v>
      </c>
      <c r="U32" s="206">
        <v>500</v>
      </c>
      <c r="V32" s="206">
        <v>500</v>
      </c>
      <c r="W32" s="206">
        <v>200</v>
      </c>
      <c r="X32" s="206">
        <v>100</v>
      </c>
      <c r="Y32" s="206">
        <v>100</v>
      </c>
      <c r="Z32" s="206">
        <v>100</v>
      </c>
      <c r="AA32" s="206">
        <f t="shared" si="0"/>
        <v>3500</v>
      </c>
      <c r="AB32" s="159"/>
      <c r="AC32" s="159"/>
      <c r="AD32" s="213">
        <v>0</v>
      </c>
      <c r="AE32" s="159"/>
      <c r="AF32" s="159"/>
      <c r="AG32" s="159"/>
      <c r="AH32" s="159"/>
      <c r="AI32" s="159"/>
      <c r="AJ32" s="219">
        <f t="shared" si="3"/>
        <v>3500</v>
      </c>
      <c r="AK32" s="178">
        <f t="shared" si="7"/>
        <v>1</v>
      </c>
      <c r="AL32" s="159"/>
      <c r="AM32" s="219">
        <f t="shared" si="5"/>
        <v>112.903225806452</v>
      </c>
      <c r="AN32" s="159"/>
      <c r="AO32" s="159"/>
      <c r="AP32" s="159"/>
      <c r="AQ32" s="219">
        <f t="shared" si="1"/>
        <v>112.903225806452</v>
      </c>
      <c r="AR32" s="214">
        <f t="shared" si="2"/>
        <v>3387.09677419355</v>
      </c>
      <c r="AS32" s="159"/>
      <c r="AT32" s="211" t="s">
        <v>844</v>
      </c>
    </row>
    <row r="33" s="164" customFormat="1" ht="28" customHeight="1" spans="1:46">
      <c r="A33" s="111">
        <v>31</v>
      </c>
      <c r="B33" s="184" t="s">
        <v>845</v>
      </c>
      <c r="C33" s="176" t="s">
        <v>779</v>
      </c>
      <c r="D33" s="177">
        <v>45767</v>
      </c>
      <c r="E33" s="20" t="s">
        <v>49</v>
      </c>
      <c r="F33" s="180">
        <v>31</v>
      </c>
      <c r="G33" s="116">
        <v>0</v>
      </c>
      <c r="H33" s="27"/>
      <c r="I33" s="116">
        <v>0</v>
      </c>
      <c r="J33" s="116">
        <v>0</v>
      </c>
      <c r="K33" s="196">
        <v>0</v>
      </c>
      <c r="L33" s="57">
        <v>0</v>
      </c>
      <c r="M33" s="57">
        <v>0</v>
      </c>
      <c r="N33" s="57">
        <v>0</v>
      </c>
      <c r="O33" s="198"/>
      <c r="P33" s="116">
        <v>0</v>
      </c>
      <c r="Q33" s="116">
        <v>0</v>
      </c>
      <c r="R33" s="116">
        <v>0</v>
      </c>
      <c r="S33" s="133"/>
      <c r="T33" s="206">
        <v>2000</v>
      </c>
      <c r="U33" s="206">
        <v>500</v>
      </c>
      <c r="V33" s="206">
        <v>500</v>
      </c>
      <c r="W33" s="206">
        <v>200</v>
      </c>
      <c r="X33" s="206">
        <v>100</v>
      </c>
      <c r="Y33" s="206">
        <v>100</v>
      </c>
      <c r="Z33" s="206">
        <v>100</v>
      </c>
      <c r="AA33" s="206">
        <f t="shared" si="0"/>
        <v>3500</v>
      </c>
      <c r="AB33" s="159"/>
      <c r="AC33" s="159"/>
      <c r="AD33" s="213">
        <v>0</v>
      </c>
      <c r="AE33" s="159"/>
      <c r="AF33" s="159"/>
      <c r="AG33" s="159"/>
      <c r="AH33" s="159"/>
      <c r="AI33" s="159"/>
      <c r="AJ33" s="219">
        <f t="shared" si="3"/>
        <v>3500</v>
      </c>
      <c r="AK33" s="178">
        <f t="shared" si="7"/>
        <v>0</v>
      </c>
      <c r="AL33" s="159"/>
      <c r="AM33" s="219">
        <f t="shared" si="5"/>
        <v>0</v>
      </c>
      <c r="AN33" s="159"/>
      <c r="AO33" s="159"/>
      <c r="AP33" s="159"/>
      <c r="AQ33" s="219">
        <f t="shared" si="1"/>
        <v>0</v>
      </c>
      <c r="AR33" s="214">
        <f t="shared" si="2"/>
        <v>3500</v>
      </c>
      <c r="AS33" s="159"/>
      <c r="AT33" s="211" t="s">
        <v>256</v>
      </c>
    </row>
    <row r="34" s="164" customFormat="1" ht="28" customHeight="1" spans="1:46">
      <c r="A34" s="111">
        <v>32</v>
      </c>
      <c r="B34" s="184" t="s">
        <v>846</v>
      </c>
      <c r="C34" s="176" t="s">
        <v>779</v>
      </c>
      <c r="D34" s="177">
        <v>45767</v>
      </c>
      <c r="E34" s="20" t="s">
        <v>49</v>
      </c>
      <c r="F34" s="180">
        <v>31</v>
      </c>
      <c r="G34" s="116">
        <v>0</v>
      </c>
      <c r="H34" s="27"/>
      <c r="I34" s="116">
        <v>0</v>
      </c>
      <c r="J34" s="116">
        <v>0</v>
      </c>
      <c r="K34" s="196">
        <v>1</v>
      </c>
      <c r="L34" s="682" t="s">
        <v>847</v>
      </c>
      <c r="M34" s="57">
        <v>0</v>
      </c>
      <c r="N34" s="57">
        <v>2</v>
      </c>
      <c r="O34" s="198" t="s">
        <v>848</v>
      </c>
      <c r="P34" s="116">
        <v>0</v>
      </c>
      <c r="Q34" s="116">
        <v>0</v>
      </c>
      <c r="R34" s="116">
        <v>0</v>
      </c>
      <c r="S34" s="133"/>
      <c r="T34" s="206">
        <v>2000</v>
      </c>
      <c r="U34" s="206">
        <v>500</v>
      </c>
      <c r="V34" s="206">
        <v>500</v>
      </c>
      <c r="W34" s="206">
        <v>200</v>
      </c>
      <c r="X34" s="206">
        <v>100</v>
      </c>
      <c r="Y34" s="206">
        <v>100</v>
      </c>
      <c r="Z34" s="206">
        <v>100</v>
      </c>
      <c r="AA34" s="206">
        <f t="shared" si="0"/>
        <v>3500</v>
      </c>
      <c r="AB34" s="159"/>
      <c r="AC34" s="159"/>
      <c r="AD34" s="206">
        <v>0</v>
      </c>
      <c r="AE34" s="159"/>
      <c r="AF34" s="159"/>
      <c r="AG34" s="159"/>
      <c r="AH34" s="159"/>
      <c r="AI34" s="159"/>
      <c r="AJ34" s="219">
        <f t="shared" si="3"/>
        <v>3500</v>
      </c>
      <c r="AK34" s="178">
        <f t="shared" si="7"/>
        <v>0</v>
      </c>
      <c r="AL34" s="159"/>
      <c r="AM34" s="219">
        <f t="shared" si="5"/>
        <v>0</v>
      </c>
      <c r="AN34" s="159"/>
      <c r="AO34" s="159"/>
      <c r="AP34" s="159"/>
      <c r="AQ34" s="219">
        <f t="shared" si="1"/>
        <v>0</v>
      </c>
      <c r="AR34" s="214">
        <f t="shared" si="2"/>
        <v>3500</v>
      </c>
      <c r="AS34" s="159"/>
      <c r="AT34" s="211" t="s">
        <v>848</v>
      </c>
    </row>
    <row r="35" s="165" customFormat="1" ht="28" customHeight="1" spans="1:46">
      <c r="A35" s="111">
        <v>33</v>
      </c>
      <c r="B35" s="184" t="s">
        <v>849</v>
      </c>
      <c r="C35" s="176" t="s">
        <v>779</v>
      </c>
      <c r="D35" s="177">
        <v>45765</v>
      </c>
      <c r="E35" s="20" t="s">
        <v>49</v>
      </c>
      <c r="F35" s="180">
        <v>31</v>
      </c>
      <c r="G35" s="116">
        <v>0</v>
      </c>
      <c r="H35" s="27"/>
      <c r="I35" s="116">
        <v>0</v>
      </c>
      <c r="J35" s="116">
        <v>0</v>
      </c>
      <c r="K35" s="196">
        <v>1</v>
      </c>
      <c r="L35" s="57">
        <v>0</v>
      </c>
      <c r="M35" s="57">
        <v>0</v>
      </c>
      <c r="N35" s="57">
        <v>1</v>
      </c>
      <c r="O35" s="198"/>
      <c r="P35" s="116">
        <v>0</v>
      </c>
      <c r="Q35" s="116">
        <v>0</v>
      </c>
      <c r="R35" s="116">
        <v>0</v>
      </c>
      <c r="S35" s="210"/>
      <c r="T35" s="206">
        <v>2000</v>
      </c>
      <c r="U35" s="206">
        <v>500</v>
      </c>
      <c r="V35" s="206">
        <v>500</v>
      </c>
      <c r="W35" s="206">
        <v>200</v>
      </c>
      <c r="X35" s="206">
        <v>100</v>
      </c>
      <c r="Y35" s="206">
        <v>100</v>
      </c>
      <c r="Z35" s="206">
        <v>100</v>
      </c>
      <c r="AA35" s="206">
        <f t="shared" si="0"/>
        <v>3500</v>
      </c>
      <c r="AB35" s="151"/>
      <c r="AC35" s="151"/>
      <c r="AD35" s="213">
        <v>0</v>
      </c>
      <c r="AE35" s="151"/>
      <c r="AF35" s="151"/>
      <c r="AG35" s="151"/>
      <c r="AH35" s="151"/>
      <c r="AI35" s="151"/>
      <c r="AJ35" s="220">
        <f t="shared" si="3"/>
        <v>3500</v>
      </c>
      <c r="AK35" s="178">
        <f t="shared" si="7"/>
        <v>0</v>
      </c>
      <c r="AL35" s="151"/>
      <c r="AM35" s="219">
        <f t="shared" si="5"/>
        <v>0</v>
      </c>
      <c r="AN35" s="151"/>
      <c r="AO35" s="151"/>
      <c r="AP35" s="151"/>
      <c r="AQ35" s="219">
        <f t="shared" si="1"/>
        <v>0</v>
      </c>
      <c r="AR35" s="214">
        <f t="shared" si="2"/>
        <v>3500</v>
      </c>
      <c r="AS35" s="151"/>
      <c r="AT35" s="211" t="s">
        <v>256</v>
      </c>
    </row>
    <row r="36" s="164" customFormat="1" ht="48" customHeight="1" spans="1:46">
      <c r="A36" s="111">
        <v>34</v>
      </c>
      <c r="B36" s="185" t="s">
        <v>850</v>
      </c>
      <c r="C36" s="176" t="s">
        <v>779</v>
      </c>
      <c r="D36" s="177">
        <v>45758</v>
      </c>
      <c r="E36" s="31" t="s">
        <v>107</v>
      </c>
      <c r="F36" s="180">
        <v>9</v>
      </c>
      <c r="G36" s="116">
        <v>0</v>
      </c>
      <c r="H36" s="27"/>
      <c r="I36" s="116">
        <v>0</v>
      </c>
      <c r="J36" s="116">
        <v>0</v>
      </c>
      <c r="K36" s="196">
        <v>1</v>
      </c>
      <c r="L36" s="57">
        <v>0</v>
      </c>
      <c r="M36" s="57">
        <v>0</v>
      </c>
      <c r="N36" s="57">
        <v>1</v>
      </c>
      <c r="O36" s="200" t="s">
        <v>851</v>
      </c>
      <c r="P36" s="116">
        <v>0</v>
      </c>
      <c r="Q36" s="116">
        <v>0</v>
      </c>
      <c r="R36" s="116">
        <v>0</v>
      </c>
      <c r="S36" s="210"/>
      <c r="T36" s="206">
        <f>3500/31*F36</f>
        <v>1016.12903225806</v>
      </c>
      <c r="U36" s="206"/>
      <c r="V36" s="206"/>
      <c r="W36" s="206"/>
      <c r="X36" s="206"/>
      <c r="Y36" s="206"/>
      <c r="Z36" s="159"/>
      <c r="AA36" s="206">
        <f t="shared" si="0"/>
        <v>1016.12903225806</v>
      </c>
      <c r="AB36" s="159"/>
      <c r="AC36" s="159">
        <f>3500/31*1</f>
        <v>112.903225806452</v>
      </c>
      <c r="AD36" s="213">
        <v>0</v>
      </c>
      <c r="AE36" s="159"/>
      <c r="AF36" s="159"/>
      <c r="AG36" s="159"/>
      <c r="AH36" s="159"/>
      <c r="AI36" s="159"/>
      <c r="AJ36" s="219">
        <f t="shared" si="3"/>
        <v>1129.03225806451</v>
      </c>
      <c r="AK36" s="178">
        <f t="shared" si="7"/>
        <v>0</v>
      </c>
      <c r="AL36" s="159"/>
      <c r="AM36" s="219">
        <f t="shared" si="5"/>
        <v>0</v>
      </c>
      <c r="AN36" s="159"/>
      <c r="AO36" s="159"/>
      <c r="AP36" s="159"/>
      <c r="AQ36" s="219">
        <f t="shared" si="1"/>
        <v>0</v>
      </c>
      <c r="AR36" s="214">
        <f t="shared" si="2"/>
        <v>1129.03225806451</v>
      </c>
      <c r="AS36" s="159"/>
      <c r="AT36" s="211" t="s">
        <v>851</v>
      </c>
    </row>
    <row r="37" s="165" customFormat="1" ht="41" customHeight="1" spans="1:46">
      <c r="A37" s="111">
        <v>35</v>
      </c>
      <c r="B37" s="185" t="s">
        <v>852</v>
      </c>
      <c r="C37" s="176" t="s">
        <v>779</v>
      </c>
      <c r="D37" s="177">
        <v>45765</v>
      </c>
      <c r="E37" s="31" t="s">
        <v>107</v>
      </c>
      <c r="F37" s="180">
        <v>31</v>
      </c>
      <c r="G37" s="116">
        <v>0</v>
      </c>
      <c r="H37" s="27"/>
      <c r="I37" s="116">
        <v>0</v>
      </c>
      <c r="J37" s="116">
        <v>0</v>
      </c>
      <c r="K37" s="196">
        <v>0</v>
      </c>
      <c r="L37" s="57">
        <v>0</v>
      </c>
      <c r="M37" s="57">
        <v>0</v>
      </c>
      <c r="N37" s="57">
        <v>0</v>
      </c>
      <c r="O37" s="200" t="s">
        <v>853</v>
      </c>
      <c r="P37" s="116">
        <v>0</v>
      </c>
      <c r="Q37" s="116">
        <v>0</v>
      </c>
      <c r="R37" s="116">
        <v>0</v>
      </c>
      <c r="S37" s="210"/>
      <c r="T37" s="206">
        <v>2000</v>
      </c>
      <c r="U37" s="206">
        <v>500</v>
      </c>
      <c r="V37" s="206">
        <v>500</v>
      </c>
      <c r="W37" s="206">
        <v>200</v>
      </c>
      <c r="X37" s="206">
        <v>100</v>
      </c>
      <c r="Y37" s="206">
        <v>100</v>
      </c>
      <c r="Z37" s="206">
        <v>100</v>
      </c>
      <c r="AA37" s="206">
        <f t="shared" si="0"/>
        <v>3500</v>
      </c>
      <c r="AB37" s="151"/>
      <c r="AC37" s="151"/>
      <c r="AD37" s="213">
        <v>0</v>
      </c>
      <c r="AE37" s="151"/>
      <c r="AF37" s="151"/>
      <c r="AG37" s="151"/>
      <c r="AH37" s="151"/>
      <c r="AI37" s="151"/>
      <c r="AJ37" s="220">
        <f t="shared" si="3"/>
        <v>3500</v>
      </c>
      <c r="AK37" s="178">
        <f t="shared" si="7"/>
        <v>0</v>
      </c>
      <c r="AL37" s="151"/>
      <c r="AM37" s="219">
        <f t="shared" si="5"/>
        <v>0</v>
      </c>
      <c r="AN37" s="151"/>
      <c r="AO37" s="151"/>
      <c r="AP37" s="151"/>
      <c r="AQ37" s="219">
        <f t="shared" si="1"/>
        <v>0</v>
      </c>
      <c r="AR37" s="214">
        <f t="shared" si="2"/>
        <v>3500</v>
      </c>
      <c r="AS37" s="151"/>
      <c r="AT37" s="211" t="s">
        <v>853</v>
      </c>
    </row>
    <row r="38" s="164" customFormat="1" ht="40" customHeight="1" spans="1:46">
      <c r="A38" s="111">
        <v>36</v>
      </c>
      <c r="B38" s="184" t="s">
        <v>854</v>
      </c>
      <c r="C38" s="176" t="s">
        <v>855</v>
      </c>
      <c r="D38" s="177">
        <v>45774</v>
      </c>
      <c r="E38" s="20" t="s">
        <v>49</v>
      </c>
      <c r="F38" s="180">
        <v>31</v>
      </c>
      <c r="G38" s="116">
        <v>0</v>
      </c>
      <c r="H38" s="27"/>
      <c r="I38" s="116">
        <v>0</v>
      </c>
      <c r="J38" s="116">
        <v>0</v>
      </c>
      <c r="K38" s="196">
        <v>0</v>
      </c>
      <c r="L38" s="57">
        <v>0</v>
      </c>
      <c r="M38" s="57">
        <v>0</v>
      </c>
      <c r="N38" s="57">
        <v>0</v>
      </c>
      <c r="O38" s="199" t="s">
        <v>856</v>
      </c>
      <c r="P38" s="116">
        <v>0</v>
      </c>
      <c r="Q38" s="116">
        <v>0</v>
      </c>
      <c r="R38" s="116">
        <v>0</v>
      </c>
      <c r="S38" s="211"/>
      <c r="T38" s="206">
        <v>500</v>
      </c>
      <c r="U38" s="206">
        <v>500</v>
      </c>
      <c r="V38" s="206">
        <v>200</v>
      </c>
      <c r="W38" s="206">
        <v>100</v>
      </c>
      <c r="X38" s="206">
        <v>100</v>
      </c>
      <c r="Y38" s="206">
        <v>200</v>
      </c>
      <c r="Z38" s="159">
        <v>100</v>
      </c>
      <c r="AA38" s="206">
        <f t="shared" si="0"/>
        <v>1700</v>
      </c>
      <c r="AB38" s="159"/>
      <c r="AC38" s="159">
        <f>1700/30*4</f>
        <v>226.666666666667</v>
      </c>
      <c r="AD38" s="213">
        <v>0</v>
      </c>
      <c r="AE38" s="159"/>
      <c r="AF38" s="159"/>
      <c r="AG38" s="159"/>
      <c r="AH38" s="159"/>
      <c r="AI38" s="159"/>
      <c r="AJ38" s="219">
        <f t="shared" si="3"/>
        <v>1926.66666666667</v>
      </c>
      <c r="AK38" s="178">
        <f t="shared" si="7"/>
        <v>0</v>
      </c>
      <c r="AL38" s="159"/>
      <c r="AM38" s="219">
        <f t="shared" si="5"/>
        <v>0</v>
      </c>
      <c r="AN38" s="159"/>
      <c r="AO38" s="159"/>
      <c r="AP38" s="159"/>
      <c r="AQ38" s="219">
        <f t="shared" si="1"/>
        <v>0</v>
      </c>
      <c r="AR38" s="214">
        <f t="shared" si="2"/>
        <v>1926.66666666667</v>
      </c>
      <c r="AS38" s="159"/>
      <c r="AT38" s="211" t="s">
        <v>856</v>
      </c>
    </row>
    <row r="39" s="164" customFormat="1" ht="42" customHeight="1" spans="1:46">
      <c r="A39" s="111">
        <v>37</v>
      </c>
      <c r="B39" s="186" t="s">
        <v>857</v>
      </c>
      <c r="C39" s="176" t="s">
        <v>779</v>
      </c>
      <c r="D39" s="177">
        <v>45796</v>
      </c>
      <c r="E39" s="26" t="s">
        <v>65</v>
      </c>
      <c r="F39" s="180">
        <v>13</v>
      </c>
      <c r="G39" s="116">
        <v>0</v>
      </c>
      <c r="H39" s="21">
        <v>1</v>
      </c>
      <c r="I39" s="116">
        <v>0</v>
      </c>
      <c r="J39" s="116">
        <v>0</v>
      </c>
      <c r="K39" s="196">
        <v>0</v>
      </c>
      <c r="L39" s="57">
        <v>0</v>
      </c>
      <c r="M39" s="57">
        <v>0</v>
      </c>
      <c r="N39" s="57">
        <v>0</v>
      </c>
      <c r="O39" s="202" t="s">
        <v>858</v>
      </c>
      <c r="P39" s="116">
        <v>0</v>
      </c>
      <c r="Q39" s="116">
        <v>0</v>
      </c>
      <c r="R39" s="116">
        <v>0</v>
      </c>
      <c r="S39" s="133"/>
      <c r="T39" s="206">
        <f>3500/31*13</f>
        <v>1467.74193548387</v>
      </c>
      <c r="U39" s="159"/>
      <c r="V39" s="159"/>
      <c r="W39" s="159"/>
      <c r="X39" s="159"/>
      <c r="Y39" s="159"/>
      <c r="Z39" s="159"/>
      <c r="AA39" s="206">
        <f t="shared" si="0"/>
        <v>1467.74193548387</v>
      </c>
      <c r="AB39" s="159"/>
      <c r="AC39" s="159"/>
      <c r="AD39" s="213">
        <v>0</v>
      </c>
      <c r="AE39" s="159"/>
      <c r="AF39" s="159"/>
      <c r="AG39" s="159"/>
      <c r="AH39" s="159"/>
      <c r="AI39" s="159"/>
      <c r="AJ39" s="219">
        <f t="shared" si="3"/>
        <v>1467.74193548387</v>
      </c>
      <c r="AK39" s="178">
        <f t="shared" si="7"/>
        <v>1</v>
      </c>
      <c r="AL39" s="159"/>
      <c r="AM39" s="219">
        <f t="shared" si="5"/>
        <v>112.903225806452</v>
      </c>
      <c r="AN39" s="159"/>
      <c r="AO39" s="159"/>
      <c r="AP39" s="159"/>
      <c r="AQ39" s="219">
        <f t="shared" si="1"/>
        <v>112.903225806452</v>
      </c>
      <c r="AR39" s="214">
        <f t="shared" si="2"/>
        <v>1354.83870967742</v>
      </c>
      <c r="AS39" s="159"/>
      <c r="AT39" s="211" t="s">
        <v>858</v>
      </c>
    </row>
    <row r="40" s="165" customFormat="1" ht="42" customHeight="1" spans="1:46">
      <c r="A40" s="111">
        <v>38</v>
      </c>
      <c r="B40" s="179" t="s">
        <v>859</v>
      </c>
      <c r="C40" s="176" t="s">
        <v>779</v>
      </c>
      <c r="D40" s="177">
        <v>45784</v>
      </c>
      <c r="E40" s="26" t="s">
        <v>65</v>
      </c>
      <c r="F40" s="180">
        <v>25</v>
      </c>
      <c r="G40" s="116">
        <v>0</v>
      </c>
      <c r="H40" s="178"/>
      <c r="I40" s="116">
        <v>0</v>
      </c>
      <c r="J40" s="116">
        <v>0</v>
      </c>
      <c r="K40" s="196">
        <v>0</v>
      </c>
      <c r="L40" s="57">
        <v>0</v>
      </c>
      <c r="M40" s="57">
        <v>0</v>
      </c>
      <c r="N40" s="57">
        <v>0</v>
      </c>
      <c r="O40" s="202" t="s">
        <v>860</v>
      </c>
      <c r="P40" s="116">
        <v>0</v>
      </c>
      <c r="Q40" s="116">
        <v>0</v>
      </c>
      <c r="R40" s="116">
        <v>0</v>
      </c>
      <c r="S40" s="207"/>
      <c r="T40" s="206">
        <f t="shared" ref="T40:T46" si="8">3500/31*25</f>
        <v>2822.58064516129</v>
      </c>
      <c r="U40" s="159"/>
      <c r="V40" s="159"/>
      <c r="W40" s="159"/>
      <c r="X40" s="159"/>
      <c r="Y40" s="159"/>
      <c r="Z40" s="159"/>
      <c r="AA40" s="206">
        <f t="shared" si="0"/>
        <v>2822.58064516129</v>
      </c>
      <c r="AB40" s="218"/>
      <c r="AC40" s="218"/>
      <c r="AD40" s="213"/>
      <c r="AE40" s="218"/>
      <c r="AF40" s="218"/>
      <c r="AG40" s="218"/>
      <c r="AH40" s="218"/>
      <c r="AI40" s="218"/>
      <c r="AJ40" s="221">
        <f t="shared" si="3"/>
        <v>2822.58064516129</v>
      </c>
      <c r="AK40" s="178">
        <f t="shared" si="7"/>
        <v>0</v>
      </c>
      <c r="AL40" s="218"/>
      <c r="AM40" s="219">
        <f t="shared" si="5"/>
        <v>0</v>
      </c>
      <c r="AN40" s="218"/>
      <c r="AO40" s="218"/>
      <c r="AP40" s="218"/>
      <c r="AQ40" s="219">
        <f t="shared" si="1"/>
        <v>0</v>
      </c>
      <c r="AR40" s="214">
        <f t="shared" si="2"/>
        <v>2822.58064516129</v>
      </c>
      <c r="AS40" s="218"/>
      <c r="AT40" s="211" t="s">
        <v>860</v>
      </c>
    </row>
    <row r="41" s="164" customFormat="1" ht="28" customHeight="1" spans="1:46">
      <c r="A41" s="111">
        <v>39</v>
      </c>
      <c r="B41" s="187" t="s">
        <v>861</v>
      </c>
      <c r="C41" s="176" t="s">
        <v>779</v>
      </c>
      <c r="D41" s="177">
        <v>45784</v>
      </c>
      <c r="E41" s="26" t="s">
        <v>65</v>
      </c>
      <c r="F41" s="180">
        <v>25</v>
      </c>
      <c r="G41" s="116">
        <v>0</v>
      </c>
      <c r="H41" s="178"/>
      <c r="I41" s="116">
        <v>0</v>
      </c>
      <c r="J41" s="116">
        <v>0</v>
      </c>
      <c r="K41" s="196">
        <v>0</v>
      </c>
      <c r="L41" s="57">
        <v>1</v>
      </c>
      <c r="M41" s="57">
        <v>0</v>
      </c>
      <c r="N41" s="57">
        <v>1</v>
      </c>
      <c r="O41" s="199" t="s">
        <v>862</v>
      </c>
      <c r="P41" s="116">
        <v>0</v>
      </c>
      <c r="Q41" s="116">
        <v>0</v>
      </c>
      <c r="R41" s="116">
        <v>0</v>
      </c>
      <c r="S41" s="133"/>
      <c r="T41" s="206">
        <f t="shared" si="8"/>
        <v>2822.58064516129</v>
      </c>
      <c r="U41" s="159"/>
      <c r="V41" s="159"/>
      <c r="W41" s="159"/>
      <c r="X41" s="159"/>
      <c r="Y41" s="159"/>
      <c r="Z41" s="159"/>
      <c r="AA41" s="206">
        <f t="shared" si="0"/>
        <v>2822.58064516129</v>
      </c>
      <c r="AB41" s="159"/>
      <c r="AC41" s="159"/>
      <c r="AD41" s="213">
        <v>0</v>
      </c>
      <c r="AE41" s="159"/>
      <c r="AF41" s="159"/>
      <c r="AG41" s="159"/>
      <c r="AH41" s="159"/>
      <c r="AI41" s="159"/>
      <c r="AJ41" s="219">
        <f t="shared" si="3"/>
        <v>2822.58064516129</v>
      </c>
      <c r="AK41" s="178">
        <f t="shared" si="7"/>
        <v>0</v>
      </c>
      <c r="AL41" s="159"/>
      <c r="AM41" s="219">
        <f t="shared" si="5"/>
        <v>0</v>
      </c>
      <c r="AN41" s="159"/>
      <c r="AO41" s="159"/>
      <c r="AP41" s="159"/>
      <c r="AQ41" s="219">
        <f t="shared" si="1"/>
        <v>0</v>
      </c>
      <c r="AR41" s="214">
        <f t="shared" si="2"/>
        <v>2822.58064516129</v>
      </c>
      <c r="AS41" s="159"/>
      <c r="AT41" s="211" t="s">
        <v>862</v>
      </c>
    </row>
    <row r="42" s="164" customFormat="1" ht="28" customHeight="1" spans="1:46">
      <c r="A42" s="111">
        <v>40</v>
      </c>
      <c r="B42" s="187" t="s">
        <v>863</v>
      </c>
      <c r="C42" s="176" t="s">
        <v>779</v>
      </c>
      <c r="D42" s="177">
        <v>45784</v>
      </c>
      <c r="E42" s="26" t="s">
        <v>65</v>
      </c>
      <c r="F42" s="180">
        <v>25</v>
      </c>
      <c r="G42" s="116">
        <v>0</v>
      </c>
      <c r="H42" s="178"/>
      <c r="I42" s="116">
        <v>0</v>
      </c>
      <c r="J42" s="116">
        <v>0</v>
      </c>
      <c r="K42" s="196">
        <v>0</v>
      </c>
      <c r="L42" s="57">
        <v>1</v>
      </c>
      <c r="M42" s="57">
        <v>0</v>
      </c>
      <c r="N42" s="57">
        <v>1</v>
      </c>
      <c r="O42" s="199" t="s">
        <v>862</v>
      </c>
      <c r="P42" s="116">
        <v>0</v>
      </c>
      <c r="Q42" s="116">
        <v>0</v>
      </c>
      <c r="R42" s="116">
        <v>0</v>
      </c>
      <c r="S42" s="133"/>
      <c r="T42" s="206">
        <f t="shared" si="8"/>
        <v>2822.58064516129</v>
      </c>
      <c r="U42" s="159"/>
      <c r="V42" s="159"/>
      <c r="W42" s="159"/>
      <c r="X42" s="159"/>
      <c r="Y42" s="159"/>
      <c r="Z42" s="159"/>
      <c r="AA42" s="206">
        <f t="shared" si="0"/>
        <v>2822.58064516129</v>
      </c>
      <c r="AB42" s="159"/>
      <c r="AC42" s="159"/>
      <c r="AD42" s="213">
        <v>0</v>
      </c>
      <c r="AE42" s="159"/>
      <c r="AF42" s="159"/>
      <c r="AG42" s="159"/>
      <c r="AH42" s="159"/>
      <c r="AI42" s="159"/>
      <c r="AJ42" s="219">
        <f t="shared" si="3"/>
        <v>2822.58064516129</v>
      </c>
      <c r="AK42" s="178">
        <f t="shared" si="7"/>
        <v>0</v>
      </c>
      <c r="AL42" s="159"/>
      <c r="AM42" s="219">
        <f t="shared" si="5"/>
        <v>0</v>
      </c>
      <c r="AN42" s="159"/>
      <c r="AO42" s="159"/>
      <c r="AP42" s="159"/>
      <c r="AQ42" s="219">
        <f t="shared" si="1"/>
        <v>0</v>
      </c>
      <c r="AR42" s="214">
        <f t="shared" si="2"/>
        <v>2822.58064516129</v>
      </c>
      <c r="AS42" s="159"/>
      <c r="AT42" s="211" t="s">
        <v>862</v>
      </c>
    </row>
    <row r="43" s="164" customFormat="1" ht="28" customHeight="1" spans="1:46">
      <c r="A43" s="111">
        <v>41</v>
      </c>
      <c r="B43" s="179" t="s">
        <v>864</v>
      </c>
      <c r="C43" s="176" t="s">
        <v>779</v>
      </c>
      <c r="D43" s="177">
        <v>45784</v>
      </c>
      <c r="E43" s="26" t="s">
        <v>65</v>
      </c>
      <c r="F43" s="180">
        <v>25</v>
      </c>
      <c r="G43" s="116">
        <v>0</v>
      </c>
      <c r="H43" s="178"/>
      <c r="I43" s="116">
        <v>0</v>
      </c>
      <c r="J43" s="116">
        <v>0</v>
      </c>
      <c r="K43" s="196">
        <v>0</v>
      </c>
      <c r="L43" s="29">
        <v>1</v>
      </c>
      <c r="M43" s="57">
        <v>0</v>
      </c>
      <c r="N43" s="57">
        <v>1</v>
      </c>
      <c r="O43" s="199" t="s">
        <v>862</v>
      </c>
      <c r="P43" s="116">
        <v>0</v>
      </c>
      <c r="Q43" s="116">
        <v>0</v>
      </c>
      <c r="R43" s="116">
        <v>0</v>
      </c>
      <c r="S43" s="133"/>
      <c r="T43" s="206">
        <f t="shared" si="8"/>
        <v>2822.58064516129</v>
      </c>
      <c r="U43" s="159"/>
      <c r="V43" s="159"/>
      <c r="W43" s="159"/>
      <c r="X43" s="159"/>
      <c r="Y43" s="159"/>
      <c r="Z43" s="159"/>
      <c r="AA43" s="206">
        <f t="shared" si="0"/>
        <v>2822.58064516129</v>
      </c>
      <c r="AB43" s="159"/>
      <c r="AC43" s="159"/>
      <c r="AD43" s="213">
        <v>0</v>
      </c>
      <c r="AE43" s="159"/>
      <c r="AF43" s="159"/>
      <c r="AG43" s="159"/>
      <c r="AH43" s="159"/>
      <c r="AI43" s="159"/>
      <c r="AJ43" s="219">
        <f t="shared" si="3"/>
        <v>2822.58064516129</v>
      </c>
      <c r="AK43" s="178">
        <f t="shared" si="7"/>
        <v>0</v>
      </c>
      <c r="AL43" s="159"/>
      <c r="AM43" s="219">
        <f t="shared" si="5"/>
        <v>0</v>
      </c>
      <c r="AN43" s="159"/>
      <c r="AO43" s="159"/>
      <c r="AP43" s="159"/>
      <c r="AQ43" s="219">
        <f t="shared" si="1"/>
        <v>0</v>
      </c>
      <c r="AR43" s="214">
        <f t="shared" si="2"/>
        <v>2822.58064516129</v>
      </c>
      <c r="AS43" s="159"/>
      <c r="AT43" s="211" t="s">
        <v>862</v>
      </c>
    </row>
    <row r="44" s="164" customFormat="1" ht="28" customHeight="1" spans="1:46">
      <c r="A44" s="111">
        <v>42</v>
      </c>
      <c r="B44" s="179" t="s">
        <v>865</v>
      </c>
      <c r="C44" s="176" t="s">
        <v>779</v>
      </c>
      <c r="D44" s="177">
        <v>45784</v>
      </c>
      <c r="E44" s="26" t="s">
        <v>65</v>
      </c>
      <c r="F44" s="180">
        <v>25</v>
      </c>
      <c r="G44" s="116">
        <v>0</v>
      </c>
      <c r="H44" s="178"/>
      <c r="I44" s="116">
        <v>0</v>
      </c>
      <c r="J44" s="116">
        <v>0</v>
      </c>
      <c r="K44" s="196">
        <v>0</v>
      </c>
      <c r="L44" s="57">
        <v>1</v>
      </c>
      <c r="M44" s="57">
        <v>0</v>
      </c>
      <c r="N44" s="57">
        <v>1</v>
      </c>
      <c r="O44" s="199" t="s">
        <v>862</v>
      </c>
      <c r="P44" s="116">
        <v>0</v>
      </c>
      <c r="Q44" s="116">
        <v>0</v>
      </c>
      <c r="R44" s="116">
        <v>0</v>
      </c>
      <c r="S44" s="133"/>
      <c r="T44" s="206">
        <f t="shared" si="8"/>
        <v>2822.58064516129</v>
      </c>
      <c r="U44" s="159"/>
      <c r="V44" s="159"/>
      <c r="W44" s="159"/>
      <c r="X44" s="159"/>
      <c r="Y44" s="159"/>
      <c r="Z44" s="159"/>
      <c r="AA44" s="206">
        <f t="shared" si="0"/>
        <v>2822.58064516129</v>
      </c>
      <c r="AB44" s="159"/>
      <c r="AC44" s="159"/>
      <c r="AD44" s="213">
        <v>0</v>
      </c>
      <c r="AE44" s="159"/>
      <c r="AF44" s="159"/>
      <c r="AG44" s="159"/>
      <c r="AH44" s="159"/>
      <c r="AI44" s="159"/>
      <c r="AJ44" s="219">
        <f t="shared" si="3"/>
        <v>2822.58064516129</v>
      </c>
      <c r="AK44" s="178">
        <f t="shared" si="7"/>
        <v>0</v>
      </c>
      <c r="AL44" s="159"/>
      <c r="AM44" s="219">
        <f t="shared" si="5"/>
        <v>0</v>
      </c>
      <c r="AN44" s="159"/>
      <c r="AO44" s="159"/>
      <c r="AP44" s="159"/>
      <c r="AQ44" s="219">
        <f t="shared" si="1"/>
        <v>0</v>
      </c>
      <c r="AR44" s="214">
        <f t="shared" si="2"/>
        <v>2822.58064516129</v>
      </c>
      <c r="AS44" s="159"/>
      <c r="AT44" s="211" t="s">
        <v>862</v>
      </c>
    </row>
    <row r="45" s="164" customFormat="1" ht="28" customHeight="1" spans="1:46">
      <c r="A45" s="111">
        <v>43</v>
      </c>
      <c r="B45" s="179" t="s">
        <v>866</v>
      </c>
      <c r="C45" s="176" t="s">
        <v>779</v>
      </c>
      <c r="D45" s="177">
        <v>45784</v>
      </c>
      <c r="E45" s="26" t="s">
        <v>65</v>
      </c>
      <c r="F45" s="180">
        <v>25</v>
      </c>
      <c r="G45" s="116">
        <v>0</v>
      </c>
      <c r="H45" s="178"/>
      <c r="I45" s="116">
        <v>0</v>
      </c>
      <c r="J45" s="116">
        <v>0</v>
      </c>
      <c r="K45" s="196">
        <v>0</v>
      </c>
      <c r="L45" s="57">
        <v>1</v>
      </c>
      <c r="M45" s="57">
        <v>0</v>
      </c>
      <c r="N45" s="57">
        <v>1</v>
      </c>
      <c r="O45" s="199" t="s">
        <v>862</v>
      </c>
      <c r="P45" s="116">
        <v>0</v>
      </c>
      <c r="Q45" s="116">
        <v>0</v>
      </c>
      <c r="R45" s="116">
        <v>0</v>
      </c>
      <c r="S45" s="207" t="s">
        <v>867</v>
      </c>
      <c r="T45" s="206">
        <f t="shared" si="8"/>
        <v>2822.58064516129</v>
      </c>
      <c r="U45" s="159"/>
      <c r="V45" s="159"/>
      <c r="W45" s="159"/>
      <c r="X45" s="159"/>
      <c r="Y45" s="159"/>
      <c r="Z45" s="159"/>
      <c r="AA45" s="206">
        <f t="shared" si="0"/>
        <v>2822.58064516129</v>
      </c>
      <c r="AB45" s="159"/>
      <c r="AC45" s="159"/>
      <c r="AD45" s="213">
        <v>4160</v>
      </c>
      <c r="AE45" s="159"/>
      <c r="AF45" s="159"/>
      <c r="AG45" s="159"/>
      <c r="AH45" s="159"/>
      <c r="AI45" s="159"/>
      <c r="AJ45" s="219">
        <f t="shared" si="3"/>
        <v>6982.58064516129</v>
      </c>
      <c r="AK45" s="178">
        <f t="shared" si="7"/>
        <v>0</v>
      </c>
      <c r="AL45" s="159"/>
      <c r="AM45" s="219">
        <f t="shared" si="5"/>
        <v>0</v>
      </c>
      <c r="AN45" s="159"/>
      <c r="AO45" s="159"/>
      <c r="AP45" s="159"/>
      <c r="AQ45" s="219">
        <f t="shared" si="1"/>
        <v>0</v>
      </c>
      <c r="AR45" s="214">
        <f t="shared" si="2"/>
        <v>6982.58064516129</v>
      </c>
      <c r="AS45" s="159"/>
      <c r="AT45" s="211" t="s">
        <v>868</v>
      </c>
    </row>
    <row r="46" s="164" customFormat="1" ht="28" customHeight="1" spans="1:46">
      <c r="A46" s="111">
        <v>44</v>
      </c>
      <c r="B46" s="179" t="s">
        <v>869</v>
      </c>
      <c r="C46" s="176" t="s">
        <v>779</v>
      </c>
      <c r="D46" s="177">
        <v>45784</v>
      </c>
      <c r="E46" s="26" t="s">
        <v>65</v>
      </c>
      <c r="F46" s="180">
        <v>25</v>
      </c>
      <c r="G46" s="116">
        <v>0</v>
      </c>
      <c r="H46" s="178"/>
      <c r="I46" s="116">
        <v>0</v>
      </c>
      <c r="J46" s="116">
        <v>0</v>
      </c>
      <c r="K46" s="196">
        <v>0</v>
      </c>
      <c r="L46" s="57">
        <v>1</v>
      </c>
      <c r="M46" s="57">
        <v>0</v>
      </c>
      <c r="N46" s="57">
        <v>1</v>
      </c>
      <c r="O46" s="199" t="s">
        <v>862</v>
      </c>
      <c r="P46" s="116">
        <v>0</v>
      </c>
      <c r="Q46" s="116">
        <v>0</v>
      </c>
      <c r="R46" s="116">
        <v>0</v>
      </c>
      <c r="S46" s="133"/>
      <c r="T46" s="206">
        <f t="shared" si="8"/>
        <v>2822.58064516129</v>
      </c>
      <c r="U46" s="159"/>
      <c r="V46" s="159"/>
      <c r="W46" s="159"/>
      <c r="X46" s="159"/>
      <c r="Y46" s="159"/>
      <c r="Z46" s="159"/>
      <c r="AA46" s="206">
        <f t="shared" si="0"/>
        <v>2822.58064516129</v>
      </c>
      <c r="AB46" s="159"/>
      <c r="AC46" s="159"/>
      <c r="AD46" s="213">
        <v>0</v>
      </c>
      <c r="AE46" s="159"/>
      <c r="AF46" s="159"/>
      <c r="AG46" s="159"/>
      <c r="AH46" s="159"/>
      <c r="AI46" s="159"/>
      <c r="AJ46" s="219">
        <f t="shared" si="3"/>
        <v>2822.58064516129</v>
      </c>
      <c r="AK46" s="178">
        <f t="shared" si="7"/>
        <v>0</v>
      </c>
      <c r="AL46" s="159"/>
      <c r="AM46" s="219">
        <f t="shared" si="5"/>
        <v>0</v>
      </c>
      <c r="AN46" s="159"/>
      <c r="AO46" s="159"/>
      <c r="AP46" s="159"/>
      <c r="AQ46" s="219">
        <f t="shared" si="1"/>
        <v>0</v>
      </c>
      <c r="AR46" s="214">
        <f t="shared" si="2"/>
        <v>2822.58064516129</v>
      </c>
      <c r="AS46" s="159"/>
      <c r="AT46" s="211" t="s">
        <v>862</v>
      </c>
    </row>
    <row r="47" s="164" customFormat="1" ht="28" customHeight="1" spans="1:46">
      <c r="A47" s="111">
        <v>45</v>
      </c>
      <c r="B47" s="179" t="s">
        <v>870</v>
      </c>
      <c r="C47" s="176" t="s">
        <v>779</v>
      </c>
      <c r="D47" s="177">
        <v>45464</v>
      </c>
      <c r="E47" s="20" t="s">
        <v>49</v>
      </c>
      <c r="F47" s="180">
        <v>31</v>
      </c>
      <c r="G47" s="116">
        <v>0</v>
      </c>
      <c r="H47" s="178"/>
      <c r="I47" s="116">
        <v>0</v>
      </c>
      <c r="J47" s="116">
        <v>0</v>
      </c>
      <c r="K47" s="196">
        <v>0</v>
      </c>
      <c r="L47" s="57">
        <v>2</v>
      </c>
      <c r="M47" s="57">
        <v>0</v>
      </c>
      <c r="N47" s="57">
        <v>2</v>
      </c>
      <c r="O47" s="199" t="s">
        <v>871</v>
      </c>
      <c r="P47" s="116">
        <v>0</v>
      </c>
      <c r="Q47" s="116">
        <v>0</v>
      </c>
      <c r="R47" s="116">
        <v>0</v>
      </c>
      <c r="S47" s="133" t="s">
        <v>872</v>
      </c>
      <c r="T47" s="206">
        <v>2000</v>
      </c>
      <c r="U47" s="206">
        <v>800</v>
      </c>
      <c r="V47" s="206">
        <v>800</v>
      </c>
      <c r="W47" s="206">
        <v>600</v>
      </c>
      <c r="X47" s="206">
        <v>400</v>
      </c>
      <c r="Y47" s="206">
        <v>300</v>
      </c>
      <c r="Z47" s="206">
        <v>100</v>
      </c>
      <c r="AA47" s="206">
        <f t="shared" si="0"/>
        <v>5000</v>
      </c>
      <c r="AB47" s="159"/>
      <c r="AC47" s="159"/>
      <c r="AD47" s="213">
        <v>0</v>
      </c>
      <c r="AE47" s="159"/>
      <c r="AF47" s="159"/>
      <c r="AG47" s="159"/>
      <c r="AH47" s="159"/>
      <c r="AI47" s="159"/>
      <c r="AJ47" s="219">
        <f t="shared" si="3"/>
        <v>5000</v>
      </c>
      <c r="AK47" s="178">
        <f t="shared" si="7"/>
        <v>0</v>
      </c>
      <c r="AL47" s="159"/>
      <c r="AM47" s="219">
        <f t="shared" si="5"/>
        <v>0</v>
      </c>
      <c r="AN47" s="159"/>
      <c r="AO47" s="159"/>
      <c r="AP47" s="159"/>
      <c r="AQ47" s="219">
        <f t="shared" si="1"/>
        <v>0</v>
      </c>
      <c r="AR47" s="214">
        <f t="shared" si="2"/>
        <v>5000</v>
      </c>
      <c r="AS47" s="159"/>
      <c r="AT47" s="211" t="s">
        <v>873</v>
      </c>
    </row>
    <row r="48" s="164" customFormat="1" ht="28" customHeight="1" spans="1:46">
      <c r="A48" s="111">
        <v>46</v>
      </c>
      <c r="B48" s="188" t="s">
        <v>874</v>
      </c>
      <c r="C48" s="176" t="s">
        <v>779</v>
      </c>
      <c r="D48" s="189">
        <v>45784</v>
      </c>
      <c r="E48" s="26" t="s">
        <v>65</v>
      </c>
      <c r="F48" s="180">
        <v>25</v>
      </c>
      <c r="G48" s="116"/>
      <c r="H48" s="178"/>
      <c r="I48" s="116"/>
      <c r="J48" s="116"/>
      <c r="K48" s="196"/>
      <c r="L48" s="57">
        <v>1</v>
      </c>
      <c r="M48" s="57">
        <v>0</v>
      </c>
      <c r="N48" s="57">
        <v>1</v>
      </c>
      <c r="O48" s="199" t="s">
        <v>862</v>
      </c>
      <c r="P48" s="116"/>
      <c r="Q48" s="116"/>
      <c r="R48" s="116"/>
      <c r="S48" s="133"/>
      <c r="T48" s="206">
        <f>3500/31*25</f>
        <v>2822.58064516129</v>
      </c>
      <c r="U48" s="206"/>
      <c r="V48" s="206"/>
      <c r="W48" s="206"/>
      <c r="X48" s="206"/>
      <c r="Y48" s="206"/>
      <c r="Z48" s="206"/>
      <c r="AA48" s="206">
        <f t="shared" si="0"/>
        <v>2822.58064516129</v>
      </c>
      <c r="AB48" s="159"/>
      <c r="AC48" s="159"/>
      <c r="AD48" s="213"/>
      <c r="AE48" s="159"/>
      <c r="AF48" s="159"/>
      <c r="AG48" s="159"/>
      <c r="AH48" s="159"/>
      <c r="AI48" s="159"/>
      <c r="AJ48" s="219">
        <f t="shared" si="3"/>
        <v>2822.58064516129</v>
      </c>
      <c r="AK48" s="178">
        <v>0</v>
      </c>
      <c r="AL48" s="159"/>
      <c r="AM48" s="219">
        <v>0</v>
      </c>
      <c r="AN48" s="159"/>
      <c r="AO48" s="159"/>
      <c r="AP48" s="159"/>
      <c r="AQ48" s="219">
        <v>0</v>
      </c>
      <c r="AR48" s="214">
        <f t="shared" si="2"/>
        <v>2822.58064516129</v>
      </c>
      <c r="AS48" s="159"/>
      <c r="AT48" s="189">
        <v>45784</v>
      </c>
    </row>
    <row r="49" s="164" customFormat="1" ht="28" customHeight="1" spans="1:46">
      <c r="A49" s="111">
        <v>47</v>
      </c>
      <c r="B49" s="188" t="s">
        <v>875</v>
      </c>
      <c r="C49" s="176" t="s">
        <v>779</v>
      </c>
      <c r="D49" s="189">
        <v>45790</v>
      </c>
      <c r="E49" s="26" t="s">
        <v>65</v>
      </c>
      <c r="F49" s="180">
        <v>19</v>
      </c>
      <c r="G49" s="116"/>
      <c r="H49" s="178"/>
      <c r="I49" s="116"/>
      <c r="J49" s="116"/>
      <c r="K49" s="196"/>
      <c r="L49" s="57">
        <v>0</v>
      </c>
      <c r="M49" s="57">
        <v>0</v>
      </c>
      <c r="N49" s="57">
        <v>0</v>
      </c>
      <c r="O49" s="199" t="s">
        <v>876</v>
      </c>
      <c r="P49" s="116"/>
      <c r="Q49" s="116"/>
      <c r="R49" s="116"/>
      <c r="S49" s="133"/>
      <c r="T49" s="206">
        <f>3500/31*19</f>
        <v>2145.16129032258</v>
      </c>
      <c r="U49" s="206"/>
      <c r="V49" s="206"/>
      <c r="W49" s="206"/>
      <c r="X49" s="206"/>
      <c r="Y49" s="206"/>
      <c r="Z49" s="206"/>
      <c r="AA49" s="206">
        <f t="shared" si="0"/>
        <v>2145.16129032258</v>
      </c>
      <c r="AB49" s="159"/>
      <c r="AC49" s="159"/>
      <c r="AD49" s="213"/>
      <c r="AE49" s="159"/>
      <c r="AF49" s="159"/>
      <c r="AG49" s="159"/>
      <c r="AH49" s="159"/>
      <c r="AI49" s="159"/>
      <c r="AJ49" s="219">
        <f t="shared" si="3"/>
        <v>2145.16129032258</v>
      </c>
      <c r="AK49" s="178">
        <v>0</v>
      </c>
      <c r="AL49" s="159"/>
      <c r="AM49" s="219">
        <v>0</v>
      </c>
      <c r="AN49" s="159"/>
      <c r="AO49" s="159"/>
      <c r="AP49" s="159"/>
      <c r="AQ49" s="219">
        <v>0</v>
      </c>
      <c r="AR49" s="214">
        <f t="shared" si="2"/>
        <v>2145.16129032258</v>
      </c>
      <c r="AS49" s="159"/>
      <c r="AT49" s="189">
        <v>45790</v>
      </c>
    </row>
    <row r="50" s="164" customFormat="1" ht="29" customHeight="1" spans="1:46">
      <c r="A50" s="111"/>
      <c r="B50" s="190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206">
        <f>SUM(T3:T49)</f>
        <v>90903.2258064516</v>
      </c>
      <c r="U50" s="206">
        <f t="shared" ref="U50:AS50" si="9">SUM(U3:U49)</f>
        <v>13300</v>
      </c>
      <c r="V50" s="206">
        <f t="shared" si="9"/>
        <v>12600</v>
      </c>
      <c r="W50" s="206">
        <f t="shared" si="9"/>
        <v>5600</v>
      </c>
      <c r="X50" s="206">
        <f t="shared" si="9"/>
        <v>3000</v>
      </c>
      <c r="Y50" s="206">
        <f t="shared" si="9"/>
        <v>3000</v>
      </c>
      <c r="Z50" s="206">
        <f t="shared" si="9"/>
        <v>2500</v>
      </c>
      <c r="AA50" s="206">
        <f t="shared" si="9"/>
        <v>130903.225806452</v>
      </c>
      <c r="AB50" s="206">
        <f t="shared" si="9"/>
        <v>0</v>
      </c>
      <c r="AC50" s="206">
        <f t="shared" si="9"/>
        <v>565.376344086023</v>
      </c>
      <c r="AD50" s="206">
        <f t="shared" si="9"/>
        <v>12923.21</v>
      </c>
      <c r="AE50" s="206">
        <f t="shared" si="9"/>
        <v>0</v>
      </c>
      <c r="AF50" s="206">
        <f t="shared" si="9"/>
        <v>450</v>
      </c>
      <c r="AG50" s="206">
        <f t="shared" si="9"/>
        <v>0</v>
      </c>
      <c r="AH50" s="206">
        <f t="shared" si="9"/>
        <v>0</v>
      </c>
      <c r="AI50" s="206">
        <f t="shared" si="9"/>
        <v>0</v>
      </c>
      <c r="AJ50" s="206">
        <f t="shared" si="9"/>
        <v>144841.812150538</v>
      </c>
      <c r="AK50" s="206">
        <f t="shared" si="9"/>
        <v>5</v>
      </c>
      <c r="AL50" s="206">
        <f t="shared" si="9"/>
        <v>0</v>
      </c>
      <c r="AM50" s="206">
        <f t="shared" si="9"/>
        <v>564.51612903226</v>
      </c>
      <c r="AN50" s="206">
        <f t="shared" si="9"/>
        <v>0</v>
      </c>
      <c r="AO50" s="206">
        <f t="shared" si="9"/>
        <v>0</v>
      </c>
      <c r="AP50" s="206">
        <f t="shared" si="9"/>
        <v>549.9</v>
      </c>
      <c r="AQ50" s="206">
        <f t="shared" si="9"/>
        <v>1114.41612903226</v>
      </c>
      <c r="AR50" s="206">
        <f t="shared" si="9"/>
        <v>143727.396021505</v>
      </c>
      <c r="AS50" s="206">
        <f t="shared" si="9"/>
        <v>0</v>
      </c>
      <c r="AT50" s="211" t="s">
        <v>256</v>
      </c>
    </row>
    <row r="53" s="166" customFormat="1" ht="21" customHeight="1" spans="2:46">
      <c r="B53" s="191"/>
      <c r="C53" s="192"/>
      <c r="D53" s="192"/>
      <c r="E53" s="192"/>
      <c r="F53" s="192"/>
      <c r="G53" s="192"/>
      <c r="H53" s="192"/>
      <c r="I53" s="192"/>
      <c r="J53" s="192"/>
      <c r="K53" s="203"/>
      <c r="L53" s="203"/>
      <c r="M53" s="203"/>
      <c r="N53" s="203"/>
      <c r="O53" s="192"/>
      <c r="P53" s="192"/>
      <c r="Q53" s="192"/>
      <c r="R53" s="192"/>
      <c r="S53" s="192"/>
      <c r="T53" s="212"/>
      <c r="U53" s="212"/>
      <c r="V53" s="212"/>
      <c r="W53" s="212"/>
      <c r="X53" s="212"/>
      <c r="Y53" s="212"/>
      <c r="Z53" s="212"/>
      <c r="AA53" s="192" t="s">
        <v>85</v>
      </c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 t="e">
        <f>#REF!-#REF!-#REF!</f>
        <v>#REF!</v>
      </c>
      <c r="AS53" s="212"/>
      <c r="AT53" s="223"/>
    </row>
  </sheetData>
  <mergeCells count="19">
    <mergeCell ref="T1:AS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11">
    <cfRule type="duplicateValues" dxfId="0" priority="4"/>
  </conditionalFormatting>
  <conditionalFormatting sqref="B3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总部</vt:lpstr>
      <vt:lpstr>新大保洁</vt:lpstr>
      <vt:lpstr>昌吉</vt:lpstr>
      <vt:lpstr>36中</vt:lpstr>
      <vt:lpstr>石河子管理人员</vt:lpstr>
      <vt:lpstr>石河子南区</vt:lpstr>
      <vt:lpstr>石河子新北区</vt:lpstr>
      <vt:lpstr>石河子中区</vt:lpstr>
      <vt:lpstr>新疆大学绿化</vt:lpstr>
      <vt:lpstr>师范专科</vt:lpstr>
      <vt:lpstr>总工会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中高后勤陶刘燕15887864674</cp:lastModifiedBy>
  <dcterms:created xsi:type="dcterms:W3CDTF">2006-09-16T00:00:00Z</dcterms:created>
  <dcterms:modified xsi:type="dcterms:W3CDTF">2025-06-15T08:56:46Z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817B5989E4974F34AED59FC488B9D20F_13</vt:lpwstr>
  </property>
  <property fmtid="{D5CDD505-2E9C-101B-9397-08002B2CF9AE}" pid="4" name="KSOProductBuildVer">
    <vt:lpwstr>2052-12.1.0.21541</vt:lpwstr>
  </property>
</Properties>
</file>