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2025.3-4结算" sheetId="1" r:id="rId1"/>
    <sheet name="回款统计" sheetId="23" r:id="rId2"/>
    <sheet name="3月4月日记账" sheetId="28" r:id="rId3"/>
    <sheet name="支援人员工资" sheetId="2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H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买设备</t>
        </r>
      </text>
    </comment>
  </commentList>
</comments>
</file>

<file path=xl/sharedStrings.xml><?xml version="1.0" encoding="utf-8"?>
<sst xmlns="http://schemas.openxmlformats.org/spreadsheetml/2006/main" count="497" uniqueCount="194">
  <si>
    <t xml:space="preserve">乌鲁木齐市第三十六中学 </t>
  </si>
  <si>
    <t>收款周期</t>
  </si>
  <si>
    <t>云南中高收入（开票收款）</t>
  </si>
  <si>
    <t>实际收款</t>
  </si>
  <si>
    <t>云南上海公司支出费用统计</t>
  </si>
  <si>
    <t>管理费3%（云南中高收）</t>
  </si>
  <si>
    <t>云南中高向新疆公司支付金额</t>
  </si>
  <si>
    <t>36中支付金额</t>
  </si>
  <si>
    <t>附加税（云南中高缴纳）</t>
  </si>
  <si>
    <t>中高云南</t>
  </si>
  <si>
    <t>上海中高（建行）</t>
  </si>
  <si>
    <t>云南新疆分公司（招行）</t>
  </si>
  <si>
    <t>上海石河子分公司（招行）</t>
  </si>
  <si>
    <t>代垫支援人员工资+社保（未入新疆账）</t>
  </si>
  <si>
    <t>云南上海公司支出费用合计</t>
  </si>
  <si>
    <t>增值税</t>
  </si>
  <si>
    <t>新疆公司开具6%专票</t>
  </si>
  <si>
    <t>2025.3月</t>
  </si>
  <si>
    <t>2025.4月</t>
  </si>
  <si>
    <t>合计</t>
  </si>
  <si>
    <t xml:space="preserve">新疆工程学院 </t>
  </si>
  <si>
    <t>新疆工程学院支付金额</t>
  </si>
  <si>
    <t>服务费金额</t>
  </si>
  <si>
    <t>增值税差额</t>
  </si>
  <si>
    <t>昌吉学院项目</t>
  </si>
  <si>
    <t>昌吉学院支付金额</t>
  </si>
  <si>
    <t xml:space="preserve">石河子大学项目 </t>
  </si>
  <si>
    <t>上海中高收入（开票收款）</t>
  </si>
  <si>
    <t>管理费3%(上海中高收）</t>
  </si>
  <si>
    <t>上海中高向新疆公司支付金额</t>
  </si>
  <si>
    <t>石河子大学支付金额（以实际结算为准）</t>
  </si>
  <si>
    <t>附加税（上海中高缴纳）</t>
  </si>
  <si>
    <t>云南新疆公司（招行）</t>
  </si>
  <si>
    <t>按收入成本支出发生金额结算，2025年3-4月，合计收款3192553.17元，其中工程学院以服务费为收入结算，最终结算的收入为1726457.23元。云南上海公司垫付支出成本合计530638.75元，3-4月需向新疆公司结算金额为1119593.36元。云南中标项目结算金额为负暂不开票；需向上海中高开票1119593.36元。</t>
  </si>
  <si>
    <t>特殊说明：工程学院不以实际收款为结算，按服务费为收入结算</t>
  </si>
  <si>
    <t>以下项目暂时统计，本次不结算</t>
  </si>
  <si>
    <t xml:space="preserve">八一中学 </t>
  </si>
  <si>
    <t>八一中学支付金额</t>
  </si>
  <si>
    <t>2025.5月</t>
  </si>
  <si>
    <t>收费台账（2025.3）</t>
  </si>
  <si>
    <t>序号</t>
  </si>
  <si>
    <t>部门</t>
  </si>
  <si>
    <t>收费项目</t>
  </si>
  <si>
    <t>实际收缴情况</t>
  </si>
  <si>
    <t>备注</t>
  </si>
  <si>
    <t>实收金额</t>
  </si>
  <si>
    <t>实收日期</t>
  </si>
  <si>
    <t>服务费</t>
  </si>
  <si>
    <t>新疆工程学院</t>
  </si>
  <si>
    <t>2025-03-11</t>
  </si>
  <si>
    <t>中高后勤服务（云南）有限公司</t>
  </si>
  <si>
    <t>2025-03-12</t>
  </si>
  <si>
    <t>2025-03-18</t>
  </si>
  <si>
    <t>2025-03-27</t>
  </si>
  <si>
    <t>36中食堂</t>
  </si>
  <si>
    <t>石河子大学</t>
  </si>
  <si>
    <t>上海中高后勤服务（集团）有限公司</t>
  </si>
  <si>
    <t>收费台账（2025.4）</t>
  </si>
  <si>
    <t>2025-04-11</t>
  </si>
  <si>
    <t>2025-04-15</t>
  </si>
  <si>
    <t>2025-04-30</t>
  </si>
  <si>
    <t>2025-04-07</t>
  </si>
  <si>
    <t>2025-04-16</t>
  </si>
  <si>
    <t>业务日期</t>
  </si>
  <si>
    <t>日期</t>
  </si>
  <si>
    <t>凭证字号</t>
  </si>
  <si>
    <t>凭证期间</t>
  </si>
  <si>
    <t>摘要</t>
  </si>
  <si>
    <t>银行</t>
  </si>
  <si>
    <t>对方科目</t>
  </si>
  <si>
    <t>借方金额（收入）</t>
  </si>
  <si>
    <t>贷方金额（支出）</t>
  </si>
  <si>
    <t>垫付合计</t>
  </si>
  <si>
    <t>金额</t>
  </si>
  <si>
    <t>2025-03-02</t>
  </si>
  <si>
    <t>记 - 16</t>
  </si>
  <si>
    <t>2025年3期</t>
  </si>
  <si>
    <t>手续费</t>
  </si>
  <si>
    <t>1002.01.11 上海中高石河子分公司招商银行</t>
  </si>
  <si>
    <t>6603.04 财务费用 - 手续费/077 - 石河子大学</t>
  </si>
  <si>
    <t>3月石河子（石河子分公司）</t>
  </si>
  <si>
    <t>记 - 52</t>
  </si>
  <si>
    <t>劳务派遣费</t>
  </si>
  <si>
    <t>1002.01.01 物业交行世纪城支行（8810）</t>
  </si>
  <si>
    <t>6001.02 主营业务收入 - 提供劳务收入/075 - 新疆工程学院</t>
  </si>
  <si>
    <t>新疆工程学院3月</t>
  </si>
  <si>
    <t>记 - 15</t>
  </si>
  <si>
    <t>缴纳2025年2月住房公积金</t>
  </si>
  <si>
    <t>6401.03.11 主营业务成本 - 人工成本 - 住房公积金/077 - 石河子大学</t>
  </si>
  <si>
    <t>3月石河子（上海交行）</t>
  </si>
  <si>
    <t>记 - 56</t>
  </si>
  <si>
    <t>36中3月（云南新疆分公司）</t>
  </si>
  <si>
    <t>记 - 26</t>
  </si>
  <si>
    <t>石河子市鸿达服务有限责任公司
劳务派遣费</t>
  </si>
  <si>
    <t>1002.01.05 上海中高建行上海临平路支行（2260）</t>
  </si>
  <si>
    <t>6401.02 主营业务成本 - 提供劳务成本/077 - 石河子大学</t>
  </si>
  <si>
    <t>36中收入</t>
  </si>
  <si>
    <t>2025-03-06</t>
  </si>
  <si>
    <t>2025-03-13</t>
  </si>
  <si>
    <t>记 - 20</t>
  </si>
  <si>
    <t>物业费</t>
  </si>
  <si>
    <t>6001.11 主营业务收入 - 物业费/077 - 石河子大学</t>
  </si>
  <si>
    <t>4月石河子（石河子分公司</t>
  </si>
  <si>
    <t>2025-03-15</t>
  </si>
  <si>
    <t>记 - 11</t>
  </si>
  <si>
    <t>社保缴纳-36中</t>
  </si>
  <si>
    <t>1002.01.08 中高后勤（云南)公司新疆分公司</t>
  </si>
  <si>
    <t>6401.03.07 主营业务成本 - 人工成本 - 社会保险/071 - 新疆36中</t>
  </si>
  <si>
    <t>4月石河子（上海交行）</t>
  </si>
  <si>
    <t>记 - 63</t>
  </si>
  <si>
    <t>新疆工程学院4月</t>
  </si>
  <si>
    <t>记 - 18</t>
  </si>
  <si>
    <t>付2月工资</t>
  </si>
  <si>
    <t>6401.03.01 主营业务成本 - 人工成本 - 人员工资/077 - 石河子大学</t>
  </si>
  <si>
    <t>36中4月（云南新疆分公司）</t>
  </si>
  <si>
    <t>2024-12-31</t>
  </si>
  <si>
    <t>记 - 17</t>
  </si>
  <si>
    <t>转社保</t>
  </si>
  <si>
    <t>6401.03.07 主营业务成本 - 人工成本 - 社会保险/077 - 石河子大学</t>
  </si>
  <si>
    <t>昌吉学院4月（新疆分公司）</t>
  </si>
  <si>
    <t>记 - 13</t>
  </si>
  <si>
    <t>劳务代发工资服务费2月</t>
  </si>
  <si>
    <t>6401.02 主营业务成本 - 提供劳务成本/071 - 新疆36中</t>
  </si>
  <si>
    <t>6602.19 管理费用 - 咨询服务费/071 - 新疆36中</t>
  </si>
  <si>
    <t>记 - 12</t>
  </si>
  <si>
    <t>2月36中工资发放</t>
  </si>
  <si>
    <t>6401.03.01 主营业务成本 - 人工成本 - 人员工资/071 - 新疆36中</t>
  </si>
  <si>
    <t>2025-03-20</t>
  </si>
  <si>
    <t>石河子大学2月物业费</t>
  </si>
  <si>
    <t>记 - 120</t>
  </si>
  <si>
    <t>2月劳务费</t>
  </si>
  <si>
    <t>2025-03-07</t>
  </si>
  <si>
    <t>记 - 119</t>
  </si>
  <si>
    <t xml:space="preserve">乌鲁木齐市第三十六中学1月2月教师餐补费用
</t>
  </si>
  <si>
    <t>6001.07 主营业务收入 - 餐饮服务收入/071 - 新疆36中</t>
  </si>
  <si>
    <t>2025-03-31</t>
  </si>
  <si>
    <t>2025-03-28</t>
  </si>
  <si>
    <t>记 - 36</t>
  </si>
  <si>
    <t>石河子市鸿达服务有限责任公司
劳务费</t>
  </si>
  <si>
    <t>缴纳3月住房公积金</t>
  </si>
  <si>
    <t>2025-04-02</t>
  </si>
  <si>
    <t>记 - 7</t>
  </si>
  <si>
    <t>2025年4期</t>
  </si>
  <si>
    <t>2025-01-31</t>
  </si>
  <si>
    <t>记 - 225</t>
  </si>
  <si>
    <t xml:space="preserve">DP2025040700095301后勤处支付物业费
</t>
  </si>
  <si>
    <t>6001.03.01 主营业务收入 - 服务费收入 - 物业服务费收入/077 - 石河子大学</t>
  </si>
  <si>
    <t>2025-04-18</t>
  </si>
  <si>
    <t>记 - 43</t>
  </si>
  <si>
    <t>记 - 46</t>
  </si>
  <si>
    <t>记 - 235</t>
  </si>
  <si>
    <t xml:space="preserve">DP20250414015822504100069(0101381)资产管理处孟志祎报物业管理
</t>
  </si>
  <si>
    <t xml:space="preserve">DP20250416003222504140007(0101860)重付4月288号凭证后勤处姚芳
</t>
  </si>
  <si>
    <t>2025-04-17</t>
  </si>
  <si>
    <t>记 - 8</t>
  </si>
  <si>
    <t>石河子大学工资</t>
  </si>
  <si>
    <t>记 - 5</t>
  </si>
  <si>
    <t>志云代发36中工资</t>
  </si>
  <si>
    <t>工资</t>
  </si>
  <si>
    <t>昌吉学院3月工资代发</t>
  </si>
  <si>
    <t>6401.03.01 主营业务成本 - 人工成本 - 人员工资/066 - 昌吉学院</t>
  </si>
  <si>
    <t>志云服务费</t>
  </si>
  <si>
    <t>2025-04-21</t>
  </si>
  <si>
    <t>收到一次性扩岗补贴</t>
  </si>
  <si>
    <t>6301.05 营业外收入 - 政府补助利得/077 - 石河子大学</t>
  </si>
  <si>
    <t>2025-04-23</t>
  </si>
  <si>
    <t>记 - 249</t>
  </si>
  <si>
    <t xml:space="preserve">新疆大学博达校区2025年校园绿化养护外包项目代理费
</t>
  </si>
  <si>
    <t>6401.10 主营业务成本 - 其他/077 - 石河子大学</t>
  </si>
  <si>
    <t xml:space="preserve">石河子市鸿达服务有限责任公司
</t>
  </si>
  <si>
    <t>2025-04-25</t>
  </si>
  <si>
    <t>4月社保缴纳</t>
  </si>
  <si>
    <t>记 - 196</t>
  </si>
  <si>
    <t xml:space="preserve">3月劳务派遣费
</t>
  </si>
  <si>
    <t>6001.12 主营业务收入 - 劳务派遣服务费收入/075 - 新疆工程学院</t>
  </si>
  <si>
    <t>记 - 4</t>
  </si>
  <si>
    <t>诸葛武
赔偿款</t>
  </si>
  <si>
    <t>6401.03.15 主营业务成本 - 人工成本 - 赔偿款/075 - 新疆工程学院</t>
  </si>
  <si>
    <t>6602.19 管理费用 - 咨询服务费/066 - 昌吉学院</t>
  </si>
  <si>
    <t>记 - 280</t>
  </si>
  <si>
    <t>墨相麟备用金核销（石河子大学员工推荐奖）</t>
  </si>
  <si>
    <t>主营业务成本 - 人工成本 - 人员工资/[077]石河子大学</t>
  </si>
  <si>
    <t>墨总备用金核销2600元</t>
  </si>
  <si>
    <t>项目名称</t>
  </si>
  <si>
    <t>支援人员</t>
  </si>
  <si>
    <t>社保公积金</t>
  </si>
  <si>
    <t>实发工资（分公司4010+呈贡美尘3000）</t>
  </si>
  <si>
    <t>支援项目</t>
  </si>
  <si>
    <t>合计费用</t>
  </si>
  <si>
    <t>支出时间</t>
  </si>
  <si>
    <t>呈贡美尘</t>
  </si>
  <si>
    <t>袁彩文</t>
  </si>
  <si>
    <t>36中</t>
  </si>
  <si>
    <t>出勤整月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</si>
</sst>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  <numFmt numFmtId="178" formatCode="0.00_);[Red]\(0.00\)"/>
  </numFmts>
  <fonts count="33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4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.5"/>
      <color rgb="FF333333"/>
      <name val="Verdana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0" borderId="17" applyNumberFormat="0" applyAlignment="0" applyProtection="0">
      <alignment vertical="center"/>
    </xf>
    <xf numFmtId="0" fontId="21" fillId="11" borderId="18" applyNumberFormat="0" applyAlignment="0" applyProtection="0">
      <alignment vertical="center"/>
    </xf>
    <xf numFmtId="0" fontId="22" fillId="11" borderId="17" applyNumberFormat="0" applyAlignment="0" applyProtection="0">
      <alignment vertical="center"/>
    </xf>
    <xf numFmtId="0" fontId="23" fillId="12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3" fontId="0" fillId="2" borderId="1" xfId="0" applyNumberFormat="1" applyFill="1" applyBorder="1" applyAlignment="1">
      <alignment horizontal="center" vertical="center"/>
    </xf>
    <xf numFmtId="43" fontId="0" fillId="2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Fill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>
      <alignment vertical="center"/>
    </xf>
    <xf numFmtId="0" fontId="2" fillId="0" borderId="1" xfId="0" applyFont="1" applyFill="1" applyBorder="1">
      <alignment vertical="center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178" fontId="4" fillId="3" borderId="1" xfId="0" applyNumberFormat="1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76" fontId="9" fillId="5" borderId="0" xfId="0" applyNumberFormat="1" applyFont="1" applyFill="1" applyAlignment="1">
      <alignment horizontal="center" vertical="center"/>
    </xf>
    <xf numFmtId="176" fontId="10" fillId="4" borderId="1" xfId="0" applyNumberFormat="1" applyFont="1" applyFill="1" applyBorder="1" applyAlignment="1">
      <alignment horizontal="center" vertical="center"/>
    </xf>
    <xf numFmtId="176" fontId="9" fillId="4" borderId="2" xfId="0" applyNumberFormat="1" applyFont="1" applyFill="1" applyBorder="1" applyAlignment="1">
      <alignment horizontal="center" vertical="center" wrapText="1"/>
    </xf>
    <xf numFmtId="176" fontId="9" fillId="4" borderId="1" xfId="0" applyNumberFormat="1" applyFont="1" applyFill="1" applyBorder="1" applyAlignment="1">
      <alignment horizontal="center" vertical="center" wrapText="1"/>
    </xf>
    <xf numFmtId="176" fontId="9" fillId="4" borderId="4" xfId="0" applyNumberFormat="1" applyFont="1" applyFill="1" applyBorder="1" applyAlignment="1">
      <alignment horizontal="center" vertical="center"/>
    </xf>
    <xf numFmtId="176" fontId="9" fillId="4" borderId="1" xfId="0" applyNumberFormat="1" applyFont="1" applyFill="1" applyBorder="1" applyAlignment="1">
      <alignment horizontal="center" vertical="center"/>
    </xf>
    <xf numFmtId="176" fontId="9" fillId="4" borderId="4" xfId="0" applyNumberFormat="1" applyFont="1" applyFill="1" applyBorder="1" applyAlignment="1">
      <alignment horizontal="center" vertical="center" wrapText="1"/>
    </xf>
    <xf numFmtId="176" fontId="9" fillId="4" borderId="5" xfId="0" applyNumberFormat="1" applyFont="1" applyFill="1" applyBorder="1" applyAlignment="1">
      <alignment horizontal="center" vertical="center" wrapText="1"/>
    </xf>
    <xf numFmtId="176" fontId="9" fillId="4" borderId="6" xfId="0" applyNumberFormat="1" applyFont="1" applyFill="1" applyBorder="1" applyAlignment="1">
      <alignment horizontal="center" vertical="center" wrapText="1"/>
    </xf>
    <xf numFmtId="176" fontId="9" fillId="4" borderId="7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9" fillId="0" borderId="8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176" fontId="9" fillId="0" borderId="10" xfId="0" applyNumberFormat="1" applyFont="1" applyBorder="1" applyAlignment="1">
      <alignment horizontal="center" vertical="center"/>
    </xf>
    <xf numFmtId="176" fontId="9" fillId="4" borderId="11" xfId="0" applyNumberFormat="1" applyFont="1" applyFill="1" applyBorder="1" applyAlignment="1">
      <alignment horizontal="center" vertical="center" wrapText="1"/>
    </xf>
    <xf numFmtId="176" fontId="9" fillId="4" borderId="12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 wrapText="1"/>
    </xf>
    <xf numFmtId="176" fontId="9" fillId="5" borderId="7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9" fillId="4" borderId="8" xfId="0" applyNumberFormat="1" applyFont="1" applyFill="1" applyBorder="1" applyAlignment="1">
      <alignment horizontal="center" vertical="center" wrapText="1"/>
    </xf>
    <xf numFmtId="176" fontId="9" fillId="4" borderId="9" xfId="0" applyNumberFormat="1" applyFont="1" applyFill="1" applyBorder="1" applyAlignment="1">
      <alignment horizontal="center" vertical="center" wrapText="1"/>
    </xf>
    <xf numFmtId="176" fontId="9" fillId="4" borderId="10" xfId="0" applyNumberFormat="1" applyFont="1" applyFill="1" applyBorder="1" applyAlignment="1">
      <alignment horizontal="center" vertical="center" wrapText="1"/>
    </xf>
    <xf numFmtId="176" fontId="9" fillId="5" borderId="1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176" fontId="9" fillId="5" borderId="4" xfId="0" applyNumberFormat="1" applyFont="1" applyFill="1" applyBorder="1" applyAlignment="1">
      <alignment horizontal="center" vertical="center"/>
    </xf>
    <xf numFmtId="176" fontId="10" fillId="5" borderId="1" xfId="0" applyNumberFormat="1" applyFont="1" applyFill="1" applyBorder="1" applyAlignment="1">
      <alignment horizontal="center" vertical="center"/>
    </xf>
    <xf numFmtId="176" fontId="9" fillId="5" borderId="8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176" fontId="9" fillId="7" borderId="0" xfId="0" applyNumberFormat="1" applyFont="1" applyFill="1" applyAlignment="1">
      <alignment horizontal="center" vertical="center"/>
    </xf>
    <xf numFmtId="176" fontId="9" fillId="8" borderId="0" xfId="0" applyNumberFormat="1" applyFont="1" applyFill="1" applyAlignment="1">
      <alignment horizontal="center" vertical="center"/>
    </xf>
    <xf numFmtId="176" fontId="9" fillId="5" borderId="0" xfId="0" applyNumberFormat="1" applyFont="1" applyFill="1" applyAlignment="1">
      <alignment horizontal="center" vertical="center" wrapText="1"/>
    </xf>
    <xf numFmtId="176" fontId="9" fillId="4" borderId="13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 wrapText="1"/>
    </xf>
    <xf numFmtId="176" fontId="9" fillId="4" borderId="0" xfId="0" applyNumberFormat="1" applyFont="1" applyFill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zoomScale="90" zoomScaleNormal="90" topLeftCell="A21" workbookViewId="0">
      <selection activeCell="K34" sqref="K34"/>
    </sheetView>
  </sheetViews>
  <sheetFormatPr defaultColWidth="9" defaultRowHeight="14.25"/>
  <cols>
    <col min="1" max="1" width="19.3333333333333" style="37" customWidth="1"/>
    <col min="2" max="2" width="17.3333333333333" style="37" customWidth="1"/>
    <col min="3" max="3" width="15.2166666666667" style="37" customWidth="1"/>
    <col min="4" max="4" width="12.3333333333333" style="37" customWidth="1"/>
    <col min="5" max="5" width="10.6666666666667" style="37" customWidth="1"/>
    <col min="6" max="6" width="8.55833333333333" style="37" customWidth="1"/>
    <col min="7" max="7" width="14.3333333333333" style="37" customWidth="1"/>
    <col min="8" max="8" width="12.3333333333333" style="37" customWidth="1"/>
    <col min="9" max="9" width="13.4416666666667" style="37" customWidth="1"/>
    <col min="10" max="10" width="16.5583333333333" style="38" customWidth="1"/>
    <col min="11" max="11" width="23.6666666666667" style="37" customWidth="1"/>
    <col min="12" max="12" width="19.8833333333333" style="37" customWidth="1"/>
    <col min="13" max="13" width="14.2166666666667" style="37" customWidth="1"/>
    <col min="14" max="14" width="21.4416666666667" style="37" customWidth="1"/>
    <col min="15" max="15" width="22.2166666666667" style="37" customWidth="1"/>
    <col min="16" max="16" width="12.625" style="36" hidden="1" customWidth="1"/>
    <col min="17" max="17" width="13.75" style="39"/>
    <col min="18" max="16384" width="9" style="39"/>
  </cols>
  <sheetData>
    <row r="1" s="35" customFormat="1" spans="1:16">
      <c r="A1" s="40"/>
      <c r="B1" s="40"/>
      <c r="C1" s="40"/>
      <c r="D1" s="40"/>
      <c r="E1" s="40"/>
      <c r="F1" s="40"/>
      <c r="G1" s="40"/>
      <c r="H1" s="40"/>
      <c r="I1" s="40"/>
      <c r="J1" s="74"/>
      <c r="K1" s="40"/>
      <c r="L1" s="40"/>
      <c r="M1" s="40"/>
      <c r="N1" s="40"/>
      <c r="O1" s="40"/>
      <c r="P1" s="36"/>
    </row>
    <row r="2" s="35" customFormat="1" spans="1:16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36"/>
    </row>
    <row r="3" s="35" customFormat="1" ht="28.5" spans="1:16">
      <c r="A3" s="42" t="s">
        <v>1</v>
      </c>
      <c r="B3" s="43" t="s">
        <v>2</v>
      </c>
      <c r="C3" s="42" t="s">
        <v>3</v>
      </c>
      <c r="D3" s="43" t="s">
        <v>4</v>
      </c>
      <c r="E3" s="43"/>
      <c r="F3" s="43"/>
      <c r="G3" s="43"/>
      <c r="H3" s="43"/>
      <c r="I3" s="43"/>
      <c r="J3" s="43"/>
      <c r="K3" s="43"/>
      <c r="L3" s="43"/>
      <c r="M3" s="43"/>
      <c r="N3" s="75" t="s">
        <v>5</v>
      </c>
      <c r="O3" s="43" t="s">
        <v>6</v>
      </c>
      <c r="P3" s="36"/>
    </row>
    <row r="4" s="35" customFormat="1" ht="28.5" spans="1:16">
      <c r="A4" s="44"/>
      <c r="B4" s="45" t="s">
        <v>7</v>
      </c>
      <c r="C4" s="46"/>
      <c r="D4" s="47" t="s">
        <v>8</v>
      </c>
      <c r="E4" s="48"/>
      <c r="F4" s="49"/>
      <c r="G4" s="46" t="s">
        <v>9</v>
      </c>
      <c r="H4" s="46" t="s">
        <v>10</v>
      </c>
      <c r="I4" s="46" t="s">
        <v>11</v>
      </c>
      <c r="J4" s="46" t="s">
        <v>12</v>
      </c>
      <c r="K4" s="43" t="s">
        <v>13</v>
      </c>
      <c r="L4" s="49" t="s">
        <v>14</v>
      </c>
      <c r="M4" s="44" t="s">
        <v>15</v>
      </c>
      <c r="N4" s="49"/>
      <c r="O4" s="45" t="s">
        <v>16</v>
      </c>
      <c r="P4" s="36"/>
    </row>
    <row r="5" s="35" customFormat="1" ht="20" customHeight="1" spans="1:16">
      <c r="A5" s="50" t="s">
        <v>17</v>
      </c>
      <c r="B5" s="50">
        <v>24842</v>
      </c>
      <c r="C5" s="50">
        <v>24842</v>
      </c>
      <c r="D5" s="51">
        <f>C5/1.06*0.06*0.12/2</f>
        <v>84.3690566037736</v>
      </c>
      <c r="E5" s="52"/>
      <c r="F5" s="53"/>
      <c r="G5" s="50"/>
      <c r="H5" s="50"/>
      <c r="I5" s="76">
        <f>39624.63</f>
        <v>39624.63</v>
      </c>
      <c r="J5" s="77"/>
      <c r="K5" s="50">
        <v>8258.91</v>
      </c>
      <c r="L5" s="63">
        <f>SUM(D5:K5)</f>
        <v>47967.9090566038</v>
      </c>
      <c r="M5" s="63">
        <f>C5/1.06*0.06</f>
        <v>1406.15094339623</v>
      </c>
      <c r="N5" s="63">
        <f>C5*0.03</f>
        <v>745.26</v>
      </c>
      <c r="O5" s="63">
        <f>C5-L5-M5-N5</f>
        <v>-25277.32</v>
      </c>
      <c r="P5" s="36"/>
    </row>
    <row r="6" s="35" customFormat="1" ht="20" customHeight="1" spans="1:16">
      <c r="A6" s="50" t="s">
        <v>18</v>
      </c>
      <c r="B6" s="50">
        <v>0</v>
      </c>
      <c r="C6" s="50">
        <v>0</v>
      </c>
      <c r="D6" s="51">
        <f>C6/1.06*0.06*0.12/2</f>
        <v>0</v>
      </c>
      <c r="E6" s="52"/>
      <c r="F6" s="53"/>
      <c r="G6" s="50"/>
      <c r="H6" s="50"/>
      <c r="I6" s="76">
        <v>47288.81</v>
      </c>
      <c r="J6" s="36"/>
      <c r="K6" s="50"/>
      <c r="L6" s="63">
        <f>SUM(D6:K6)</f>
        <v>47288.81</v>
      </c>
      <c r="M6" s="63">
        <f>C6/1.06*0.06</f>
        <v>0</v>
      </c>
      <c r="N6" s="63">
        <f>C6*0.03</f>
        <v>0</v>
      </c>
      <c r="O6" s="63">
        <f>C6-L6-M6-N6</f>
        <v>-47288.81</v>
      </c>
      <c r="P6" s="36"/>
    </row>
    <row r="7" s="35" customFormat="1" ht="20" customHeight="1" spans="1:16">
      <c r="A7" s="50" t="s">
        <v>19</v>
      </c>
      <c r="B7" s="50">
        <f>SUM(B5:B6)</f>
        <v>24842</v>
      </c>
      <c r="C7" s="50">
        <f>SUM(C5:C6)</f>
        <v>24842</v>
      </c>
      <c r="D7" s="51">
        <f>SUM(D5:D6)</f>
        <v>84.3690566037736</v>
      </c>
      <c r="E7" s="52"/>
      <c r="F7" s="53"/>
      <c r="G7" s="50">
        <f t="shared" ref="G7:O7" si="0">SUM(G5:G6)</f>
        <v>0</v>
      </c>
      <c r="H7" s="50">
        <f t="shared" si="0"/>
        <v>0</v>
      </c>
      <c r="I7" s="50">
        <f t="shared" si="0"/>
        <v>86913.44</v>
      </c>
      <c r="J7" s="50">
        <f t="shared" si="0"/>
        <v>0</v>
      </c>
      <c r="K7" s="50">
        <f t="shared" si="0"/>
        <v>8258.91</v>
      </c>
      <c r="L7" s="50">
        <f t="shared" si="0"/>
        <v>95256.7190566038</v>
      </c>
      <c r="M7" s="50">
        <f t="shared" si="0"/>
        <v>1406.15094339623</v>
      </c>
      <c r="N7" s="50">
        <f t="shared" si="0"/>
        <v>745.26</v>
      </c>
      <c r="O7" s="50">
        <f t="shared" si="0"/>
        <v>-72566.13</v>
      </c>
      <c r="P7" s="36">
        <f>O7</f>
        <v>-72566.13</v>
      </c>
    </row>
    <row r="8" spans="1:15">
      <c r="A8" s="40"/>
      <c r="B8" s="40"/>
      <c r="C8" s="40"/>
      <c r="D8" s="40"/>
      <c r="E8" s="40"/>
      <c r="F8" s="40"/>
      <c r="G8" s="40"/>
      <c r="H8" s="40"/>
      <c r="I8" s="40"/>
      <c r="J8" s="74"/>
      <c r="K8" s="40"/>
      <c r="L8" s="40"/>
      <c r="M8" s="40"/>
      <c r="N8" s="40"/>
      <c r="O8" s="40"/>
    </row>
    <row r="9" ht="19.05" customHeight="1" spans="1:15">
      <c r="A9" s="41" t="s">
        <v>20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</row>
    <row r="10" ht="31.2" customHeight="1" spans="1:15">
      <c r="A10" s="42" t="s">
        <v>1</v>
      </c>
      <c r="B10" s="43" t="s">
        <v>2</v>
      </c>
      <c r="C10" s="42" t="s">
        <v>3</v>
      </c>
      <c r="D10" s="43"/>
      <c r="E10" s="54" t="s">
        <v>4</v>
      </c>
      <c r="F10" s="55"/>
      <c r="G10" s="55"/>
      <c r="H10" s="55"/>
      <c r="I10" s="55"/>
      <c r="J10" s="55"/>
      <c r="K10" s="55"/>
      <c r="L10" s="75"/>
      <c r="M10" s="78"/>
      <c r="N10" s="42" t="s">
        <v>5</v>
      </c>
      <c r="O10" s="43" t="s">
        <v>6</v>
      </c>
    </row>
    <row r="11" ht="28.5" spans="1:15">
      <c r="A11" s="44"/>
      <c r="B11" s="43" t="s">
        <v>21</v>
      </c>
      <c r="C11" s="46"/>
      <c r="D11" s="46" t="s">
        <v>22</v>
      </c>
      <c r="E11" s="47" t="s">
        <v>8</v>
      </c>
      <c r="F11" s="49"/>
      <c r="G11" s="43" t="s">
        <v>9</v>
      </c>
      <c r="H11" s="43" t="s">
        <v>10</v>
      </c>
      <c r="I11" s="43" t="s">
        <v>11</v>
      </c>
      <c r="J11" s="43" t="s">
        <v>12</v>
      </c>
      <c r="K11" s="43" t="s">
        <v>13</v>
      </c>
      <c r="L11" s="62" t="s">
        <v>14</v>
      </c>
      <c r="M11" s="78" t="s">
        <v>23</v>
      </c>
      <c r="N11" s="46"/>
      <c r="O11" s="45" t="s">
        <v>16</v>
      </c>
    </row>
    <row r="12" ht="25" customHeight="1" spans="1:15">
      <c r="A12" s="50" t="s">
        <v>17</v>
      </c>
      <c r="B12" s="50">
        <v>729495.28</v>
      </c>
      <c r="C12" s="50">
        <v>729495.28</v>
      </c>
      <c r="D12" s="56">
        <v>15400</v>
      </c>
      <c r="E12" s="57">
        <f>D12/1.06*0.06*0.12/2</f>
        <v>52.3018867924528</v>
      </c>
      <c r="F12" s="58">
        <f>C12/1.06*0.06*0.12</f>
        <v>4955.06227924528</v>
      </c>
      <c r="G12" s="50"/>
      <c r="H12" s="50"/>
      <c r="I12" s="50"/>
      <c r="J12" s="77"/>
      <c r="K12" s="50"/>
      <c r="L12" s="50">
        <f>E12+G12+H12+I12+J12+K12</f>
        <v>52.3018867924528</v>
      </c>
      <c r="M12" s="50">
        <f>L12/1.06*0.06</f>
        <v>2.96048415806337</v>
      </c>
      <c r="N12" s="50">
        <f>D12*0.03</f>
        <v>462</v>
      </c>
      <c r="O12" s="63">
        <f>D12-L12-M12-N12</f>
        <v>14882.7376290495</v>
      </c>
    </row>
    <row r="13" ht="25" customHeight="1" spans="1:15">
      <c r="A13" s="50" t="s">
        <v>18</v>
      </c>
      <c r="B13" s="50">
        <v>772375.66</v>
      </c>
      <c r="C13" s="50">
        <v>772375.66</v>
      </c>
      <c r="D13" s="56">
        <v>20375</v>
      </c>
      <c r="E13" s="57">
        <f>D13/1.06*0.06*0.12/2</f>
        <v>69.1981132075472</v>
      </c>
      <c r="F13" s="58"/>
      <c r="G13" s="56"/>
      <c r="H13" s="56"/>
      <c r="I13" s="79">
        <v>179.67</v>
      </c>
      <c r="J13" s="56"/>
      <c r="K13" s="56"/>
      <c r="L13" s="50">
        <f>E13+G13+H13+I13+J13+K13</f>
        <v>248.868113207547</v>
      </c>
      <c r="M13" s="50">
        <f>L13/1.06*0.06</f>
        <v>14.0868743325027</v>
      </c>
      <c r="N13" s="50">
        <f>D13*0.03</f>
        <v>611.25</v>
      </c>
      <c r="O13" s="63">
        <f>D13-L13-M13-N13</f>
        <v>19500.79501246</v>
      </c>
    </row>
    <row r="14" ht="25" customHeight="1" spans="1:16">
      <c r="A14" s="59" t="s">
        <v>19</v>
      </c>
      <c r="B14" s="50">
        <f>SUM(B12:B13)</f>
        <v>1501870.94</v>
      </c>
      <c r="C14" s="50">
        <f>SUM(C12:C13)</f>
        <v>1501870.94</v>
      </c>
      <c r="D14" s="50">
        <f>SUM(D12:D13)</f>
        <v>35775</v>
      </c>
      <c r="E14" s="51">
        <f>SUM(E12:E13)</f>
        <v>121.5</v>
      </c>
      <c r="F14" s="53"/>
      <c r="G14" s="50">
        <f t="shared" ref="G14:O14" si="1">SUM(G12:G13)</f>
        <v>0</v>
      </c>
      <c r="H14" s="50">
        <f t="shared" si="1"/>
        <v>0</v>
      </c>
      <c r="I14" s="50">
        <f t="shared" si="1"/>
        <v>179.67</v>
      </c>
      <c r="J14" s="50">
        <f t="shared" si="1"/>
        <v>0</v>
      </c>
      <c r="K14" s="50">
        <f t="shared" si="1"/>
        <v>0</v>
      </c>
      <c r="L14" s="50">
        <f t="shared" si="1"/>
        <v>301.17</v>
      </c>
      <c r="M14" s="50">
        <f t="shared" si="1"/>
        <v>17.0473584905661</v>
      </c>
      <c r="N14" s="50">
        <f t="shared" si="1"/>
        <v>1073.25</v>
      </c>
      <c r="O14" s="50">
        <f t="shared" si="1"/>
        <v>34383.5326415094</v>
      </c>
      <c r="P14" s="36">
        <f>O14</f>
        <v>34383.5326415094</v>
      </c>
    </row>
    <row r="16" spans="1:15">
      <c r="A16" s="41" t="s">
        <v>24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</row>
    <row r="17" ht="28.5" spans="1:15">
      <c r="A17" s="42" t="s">
        <v>1</v>
      </c>
      <c r="B17" s="43" t="s">
        <v>2</v>
      </c>
      <c r="C17" s="42" t="s">
        <v>3</v>
      </c>
      <c r="D17" s="43" t="s">
        <v>4</v>
      </c>
      <c r="E17" s="43"/>
      <c r="F17" s="43"/>
      <c r="G17" s="43"/>
      <c r="H17" s="43"/>
      <c r="I17" s="43"/>
      <c r="J17" s="43"/>
      <c r="K17" s="43"/>
      <c r="L17" s="43"/>
      <c r="M17" s="43"/>
      <c r="N17" s="75" t="s">
        <v>5</v>
      </c>
      <c r="O17" s="43" t="s">
        <v>6</v>
      </c>
    </row>
    <row r="18" ht="28.5" spans="1:15">
      <c r="A18" s="44"/>
      <c r="B18" s="45" t="s">
        <v>25</v>
      </c>
      <c r="C18" s="46"/>
      <c r="D18" s="47" t="s">
        <v>8</v>
      </c>
      <c r="E18" s="48"/>
      <c r="F18" s="49"/>
      <c r="G18" s="46" t="s">
        <v>9</v>
      </c>
      <c r="H18" s="46" t="s">
        <v>10</v>
      </c>
      <c r="I18" s="46" t="s">
        <v>11</v>
      </c>
      <c r="J18" s="46" t="s">
        <v>12</v>
      </c>
      <c r="K18" s="43" t="s">
        <v>13</v>
      </c>
      <c r="L18" s="49" t="s">
        <v>14</v>
      </c>
      <c r="M18" s="44" t="s">
        <v>15</v>
      </c>
      <c r="N18" s="49"/>
      <c r="O18" s="45" t="s">
        <v>16</v>
      </c>
    </row>
    <row r="19" spans="1:15">
      <c r="A19" s="50" t="s">
        <v>17</v>
      </c>
      <c r="B19" s="5"/>
      <c r="C19" s="50"/>
      <c r="D19" s="51"/>
      <c r="E19" s="52"/>
      <c r="F19" s="53"/>
      <c r="G19" s="50"/>
      <c r="H19" s="50"/>
      <c r="I19" s="50">
        <v>0</v>
      </c>
      <c r="J19" s="77"/>
      <c r="K19" s="50"/>
      <c r="L19" s="63">
        <f>SUM(D19:K19)</f>
        <v>0</v>
      </c>
      <c r="M19" s="63">
        <f>C19/1.06*0.06</f>
        <v>0</v>
      </c>
      <c r="N19" s="63">
        <f>C19*0.03</f>
        <v>0</v>
      </c>
      <c r="O19" s="63">
        <f>C19-L19-M19-N19</f>
        <v>0</v>
      </c>
    </row>
    <row r="20" spans="1:15">
      <c r="A20" s="50" t="s">
        <v>18</v>
      </c>
      <c r="B20" s="5"/>
      <c r="C20" s="50"/>
      <c r="D20" s="51"/>
      <c r="E20" s="52"/>
      <c r="F20" s="53"/>
      <c r="G20" s="50"/>
      <c r="H20" s="50"/>
      <c r="I20" s="76">
        <v>28602.58</v>
      </c>
      <c r="J20" s="77"/>
      <c r="K20" s="50"/>
      <c r="L20" s="63">
        <f>SUM(D20:K20)</f>
        <v>28602.58</v>
      </c>
      <c r="M20" s="63">
        <f>C20/1.06*0.06</f>
        <v>0</v>
      </c>
      <c r="N20" s="63">
        <f>C20*0.03</f>
        <v>0</v>
      </c>
      <c r="O20" s="63">
        <f>C20-L20-M20-N20</f>
        <v>-28602.58</v>
      </c>
    </row>
    <row r="21" spans="1:16">
      <c r="A21" s="50" t="s">
        <v>19</v>
      </c>
      <c r="B21" s="50">
        <f>SUM(B19:B20)</f>
        <v>0</v>
      </c>
      <c r="C21" s="50">
        <f>SUM(C19:C20)</f>
        <v>0</v>
      </c>
      <c r="D21" s="50">
        <f>SUM(D19:D20)</f>
        <v>0</v>
      </c>
      <c r="E21" s="50">
        <f>SUM(E19:E19)</f>
        <v>0</v>
      </c>
      <c r="F21" s="50">
        <f>SUM(F19:F19)</f>
        <v>0</v>
      </c>
      <c r="G21" s="50">
        <f t="shared" ref="G21:O21" si="2">SUM(G19:G20)</f>
        <v>0</v>
      </c>
      <c r="H21" s="50">
        <f t="shared" si="2"/>
        <v>0</v>
      </c>
      <c r="I21" s="50">
        <f t="shared" si="2"/>
        <v>28602.58</v>
      </c>
      <c r="J21" s="50">
        <f t="shared" si="2"/>
        <v>0</v>
      </c>
      <c r="K21" s="50">
        <f t="shared" si="2"/>
        <v>0</v>
      </c>
      <c r="L21" s="50">
        <f t="shared" si="2"/>
        <v>28602.58</v>
      </c>
      <c r="M21" s="50">
        <f t="shared" si="2"/>
        <v>0</v>
      </c>
      <c r="N21" s="50">
        <f t="shared" si="2"/>
        <v>0</v>
      </c>
      <c r="O21" s="50">
        <f t="shared" si="2"/>
        <v>-28602.58</v>
      </c>
      <c r="P21" s="36">
        <f>O21</f>
        <v>-28602.58</v>
      </c>
    </row>
    <row r="24" ht="29" customHeight="1" spans="1:15">
      <c r="A24" s="41" t="s">
        <v>26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</row>
    <row r="25" ht="28.5" spans="1:15">
      <c r="A25" s="42" t="s">
        <v>1</v>
      </c>
      <c r="B25" s="43" t="s">
        <v>27</v>
      </c>
      <c r="C25" s="42" t="s">
        <v>3</v>
      </c>
      <c r="D25" s="60" t="s">
        <v>4</v>
      </c>
      <c r="E25" s="61"/>
      <c r="F25" s="61"/>
      <c r="G25" s="61"/>
      <c r="H25" s="61"/>
      <c r="I25" s="61"/>
      <c r="J25" s="61"/>
      <c r="K25" s="61"/>
      <c r="L25" s="61"/>
      <c r="M25" s="62"/>
      <c r="N25" s="42" t="s">
        <v>28</v>
      </c>
      <c r="O25" s="43" t="s">
        <v>29</v>
      </c>
    </row>
    <row r="26" ht="34.95" customHeight="1" spans="1:15">
      <c r="A26" s="44"/>
      <c r="B26" s="43" t="s">
        <v>30</v>
      </c>
      <c r="C26" s="46"/>
      <c r="D26" s="60" t="s">
        <v>31</v>
      </c>
      <c r="E26" s="61"/>
      <c r="F26" s="62"/>
      <c r="G26" s="43" t="s">
        <v>9</v>
      </c>
      <c r="H26" s="43" t="s">
        <v>10</v>
      </c>
      <c r="I26" s="43" t="s">
        <v>32</v>
      </c>
      <c r="J26" s="43" t="s">
        <v>12</v>
      </c>
      <c r="K26" s="43" t="s">
        <v>13</v>
      </c>
      <c r="L26" s="62" t="s">
        <v>14</v>
      </c>
      <c r="M26" s="78" t="s">
        <v>23</v>
      </c>
      <c r="N26" s="46"/>
      <c r="O26" s="45" t="s">
        <v>16</v>
      </c>
    </row>
    <row r="27" ht="31.8" customHeight="1" spans="1:15">
      <c r="A27" s="50" t="s">
        <v>17</v>
      </c>
      <c r="B27" s="63">
        <v>823034.4</v>
      </c>
      <c r="C27" s="64">
        <v>823034.4</v>
      </c>
      <c r="D27" s="51">
        <f>C27/1.06*0.06*0.12/2</f>
        <v>2795.21116981132</v>
      </c>
      <c r="E27" s="52"/>
      <c r="F27" s="53"/>
      <c r="G27" s="65">
        <v>2600</v>
      </c>
      <c r="H27" s="50">
        <v>66000</v>
      </c>
      <c r="J27" s="50">
        <v>105378.81</v>
      </c>
      <c r="K27" s="65"/>
      <c r="L27" s="44">
        <f>SUM(D27:K27)</f>
        <v>176774.021169811</v>
      </c>
      <c r="M27" s="50">
        <f>L27/1.06*0.06</f>
        <v>10006.0766699893</v>
      </c>
      <c r="N27" s="50">
        <f>C27*0.03</f>
        <v>24691.032</v>
      </c>
      <c r="O27" s="50">
        <f>C27-L27-M27-N27</f>
        <v>611563.270160199</v>
      </c>
    </row>
    <row r="28" ht="31.8" customHeight="1" spans="1:15">
      <c r="A28" s="50" t="s">
        <v>18</v>
      </c>
      <c r="B28" s="63">
        <v>842805.83</v>
      </c>
      <c r="C28" s="64">
        <v>842805.83</v>
      </c>
      <c r="D28" s="51">
        <f>C28/1.06*0.06*0.12/2</f>
        <v>2862.35942264151</v>
      </c>
      <c r="E28" s="52"/>
      <c r="F28" s="53"/>
      <c r="G28" s="65"/>
      <c r="H28" s="50">
        <v>47014.79</v>
      </c>
      <c r="I28" s="50"/>
      <c r="J28" s="76">
        <v>179827.11</v>
      </c>
      <c r="K28" s="65"/>
      <c r="L28" s="44">
        <f>SUM(D28:K28)</f>
        <v>229704.259422641</v>
      </c>
      <c r="M28" s="50">
        <f>L28/1.06*0.06</f>
        <v>13002.1278918476</v>
      </c>
      <c r="N28" s="50">
        <f>C28*0.03</f>
        <v>25284.1749</v>
      </c>
      <c r="O28" s="50">
        <f>C28-L28-M28-N28</f>
        <v>574815.267785511</v>
      </c>
    </row>
    <row r="29" ht="31.8" customHeight="1" spans="1:16">
      <c r="A29" s="66" t="s">
        <v>19</v>
      </c>
      <c r="B29" s="63">
        <f>SUM(B27:B28)</f>
        <v>1665840.23</v>
      </c>
      <c r="C29" s="63">
        <f>SUM(C27:C28)</f>
        <v>1665840.23</v>
      </c>
      <c r="D29" s="67">
        <f>SUM(D27:D28)</f>
        <v>5657.57059245283</v>
      </c>
      <c r="E29" s="68"/>
      <c r="F29" s="69"/>
      <c r="G29" s="63">
        <f t="shared" ref="G29:O29" si="3">SUM(G27:G28)</f>
        <v>2600</v>
      </c>
      <c r="H29" s="63">
        <f t="shared" si="3"/>
        <v>113014.79</v>
      </c>
      <c r="I29" s="63">
        <f t="shared" si="3"/>
        <v>0</v>
      </c>
      <c r="J29" s="63">
        <f t="shared" si="3"/>
        <v>285205.92</v>
      </c>
      <c r="K29" s="63">
        <f t="shared" si="3"/>
        <v>0</v>
      </c>
      <c r="L29" s="63">
        <f t="shared" si="3"/>
        <v>406478.280592452</v>
      </c>
      <c r="M29" s="63">
        <f t="shared" si="3"/>
        <v>23008.2045618369</v>
      </c>
      <c r="N29" s="63">
        <f t="shared" si="3"/>
        <v>49975.2069</v>
      </c>
      <c r="O29" s="63">
        <f t="shared" si="3"/>
        <v>1186378.53794571</v>
      </c>
      <c r="P29" s="36">
        <f>O29</f>
        <v>1186378.53794571</v>
      </c>
    </row>
    <row r="30" ht="31.8" customHeight="1" spans="3:3">
      <c r="C30" s="37">
        <f>C7+D14+C29</f>
        <v>1726457.23</v>
      </c>
    </row>
    <row r="31" customFormat="1" ht="17" customHeight="1" spans="16:16">
      <c r="P31" s="7"/>
    </row>
    <row r="32" s="36" customFormat="1" ht="40" customHeight="1" spans="1:15">
      <c r="A32" s="70" t="s">
        <v>19</v>
      </c>
      <c r="B32" s="70">
        <f>B7+B14+B21+B29</f>
        <v>3192553.17</v>
      </c>
      <c r="C32" s="70">
        <f t="shared" ref="C32:O32" si="4">C7+C14+C21+C29</f>
        <v>3192553.17</v>
      </c>
      <c r="D32" s="70">
        <f t="shared" si="4"/>
        <v>41516.9396490566</v>
      </c>
      <c r="E32" s="70">
        <f t="shared" si="4"/>
        <v>121.5</v>
      </c>
      <c r="F32" s="70">
        <f t="shared" si="4"/>
        <v>0</v>
      </c>
      <c r="G32" s="70">
        <f t="shared" si="4"/>
        <v>2600</v>
      </c>
      <c r="H32" s="70">
        <f t="shared" si="4"/>
        <v>113014.79</v>
      </c>
      <c r="I32" s="70">
        <f t="shared" si="4"/>
        <v>115695.69</v>
      </c>
      <c r="J32" s="70">
        <f t="shared" si="4"/>
        <v>285205.92</v>
      </c>
      <c r="K32" s="70">
        <f t="shared" si="4"/>
        <v>8258.91</v>
      </c>
      <c r="L32" s="70">
        <f t="shared" si="4"/>
        <v>530638.749649056</v>
      </c>
      <c r="M32" s="70">
        <f t="shared" si="4"/>
        <v>24431.4028637237</v>
      </c>
      <c r="N32" s="70">
        <f t="shared" si="4"/>
        <v>51793.7169</v>
      </c>
      <c r="O32" s="70">
        <f t="shared" si="4"/>
        <v>1119593.36058722</v>
      </c>
    </row>
    <row r="33" ht="55" customHeight="1" spans="1:11">
      <c r="A33" s="71" t="s">
        <v>33</v>
      </c>
      <c r="B33" s="71"/>
      <c r="C33" s="71"/>
      <c r="D33" s="71"/>
      <c r="E33" s="71"/>
      <c r="F33" s="71"/>
      <c r="G33" s="71"/>
      <c r="H33" s="71"/>
      <c r="I33" s="71"/>
      <c r="J33" s="71"/>
      <c r="K33" s="37">
        <f>C32-C14+D14</f>
        <v>1726457.23</v>
      </c>
    </row>
    <row r="34" spans="1:8">
      <c r="A34" s="72" t="s">
        <v>34</v>
      </c>
      <c r="B34" s="72"/>
      <c r="C34" s="72"/>
      <c r="D34" s="72"/>
      <c r="E34" s="72"/>
      <c r="F34" s="72"/>
      <c r="G34" s="72"/>
      <c r="H34" s="72"/>
    </row>
    <row r="40" hidden="1" spans="1:8">
      <c r="A40" s="73" t="s">
        <v>35</v>
      </c>
      <c r="B40" s="73"/>
      <c r="C40" s="73"/>
      <c r="D40" s="73"/>
      <c r="E40" s="73"/>
      <c r="F40" s="73"/>
      <c r="G40" s="73"/>
      <c r="H40" s="73"/>
    </row>
    <row r="41" ht="33" hidden="1" customHeight="1" spans="1:15">
      <c r="A41" s="41" t="s">
        <v>36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</row>
    <row r="42" ht="33" hidden="1" customHeight="1" spans="1:15">
      <c r="A42" s="42" t="s">
        <v>1</v>
      </c>
      <c r="B42" s="43" t="s">
        <v>2</v>
      </c>
      <c r="C42" s="42" t="s">
        <v>3</v>
      </c>
      <c r="D42" s="60" t="s">
        <v>4</v>
      </c>
      <c r="E42" s="61"/>
      <c r="F42" s="61"/>
      <c r="G42" s="61"/>
      <c r="H42" s="61"/>
      <c r="I42" s="61"/>
      <c r="J42" s="61"/>
      <c r="K42" s="61"/>
      <c r="L42" s="61"/>
      <c r="M42" s="62"/>
      <c r="N42" s="75" t="s">
        <v>5</v>
      </c>
      <c r="O42" s="43" t="s">
        <v>6</v>
      </c>
    </row>
    <row r="43" ht="33" hidden="1" customHeight="1" spans="1:15">
      <c r="A43" s="44"/>
      <c r="B43" s="45" t="s">
        <v>37</v>
      </c>
      <c r="C43" s="46"/>
      <c r="D43" s="60" t="s">
        <v>8</v>
      </c>
      <c r="E43" s="61"/>
      <c r="F43" s="62"/>
      <c r="G43" s="43" t="s">
        <v>9</v>
      </c>
      <c r="H43" s="43" t="s">
        <v>10</v>
      </c>
      <c r="I43" s="43" t="s">
        <v>11</v>
      </c>
      <c r="J43" s="43" t="s">
        <v>12</v>
      </c>
      <c r="K43" s="43" t="s">
        <v>13</v>
      </c>
      <c r="L43" s="62" t="s">
        <v>14</v>
      </c>
      <c r="M43" s="78" t="s">
        <v>15</v>
      </c>
      <c r="N43" s="49"/>
      <c r="O43" s="45" t="s">
        <v>16</v>
      </c>
    </row>
    <row r="44" ht="33" hidden="1" customHeight="1" spans="1:15">
      <c r="A44" s="50" t="s">
        <v>38</v>
      </c>
      <c r="B44" s="50">
        <v>0</v>
      </c>
      <c r="C44" s="50">
        <v>0</v>
      </c>
      <c r="D44" s="51">
        <f>C44/1.06*0.06*0.12/2</f>
        <v>0</v>
      </c>
      <c r="E44" s="52"/>
      <c r="F44" s="53"/>
      <c r="G44" s="50"/>
      <c r="H44" s="50">
        <v>38160</v>
      </c>
      <c r="I44" s="50"/>
      <c r="J44" s="77"/>
      <c r="K44" s="50"/>
      <c r="L44" s="63">
        <f>SUM(D44:K44)</f>
        <v>38160</v>
      </c>
      <c r="M44" s="63">
        <f>L44/1.06*0.06</f>
        <v>2160</v>
      </c>
      <c r="N44" s="63">
        <f>C44*0.03</f>
        <v>0</v>
      </c>
      <c r="O44" s="63">
        <f>C44-L44-M44-N44</f>
        <v>-40320</v>
      </c>
    </row>
    <row r="45" ht="33" hidden="1" customHeight="1" spans="1:15">
      <c r="A45" s="50" t="s">
        <v>19</v>
      </c>
      <c r="B45" s="50">
        <f t="shared" ref="B45:O45" si="5">SUM(B44:B44)</f>
        <v>0</v>
      </c>
      <c r="C45" s="50">
        <f t="shared" si="5"/>
        <v>0</v>
      </c>
      <c r="D45" s="51">
        <f t="shared" si="5"/>
        <v>0</v>
      </c>
      <c r="E45" s="52"/>
      <c r="F45" s="53"/>
      <c r="G45" s="50">
        <f t="shared" si="5"/>
        <v>0</v>
      </c>
      <c r="H45" s="50">
        <f t="shared" si="5"/>
        <v>38160</v>
      </c>
      <c r="I45" s="50">
        <f t="shared" si="5"/>
        <v>0</v>
      </c>
      <c r="J45" s="50">
        <f t="shared" si="5"/>
        <v>0</v>
      </c>
      <c r="K45" s="50">
        <f t="shared" si="5"/>
        <v>0</v>
      </c>
      <c r="L45" s="50">
        <f t="shared" si="5"/>
        <v>38160</v>
      </c>
      <c r="M45" s="50">
        <f t="shared" si="5"/>
        <v>2160</v>
      </c>
      <c r="N45" s="50">
        <f t="shared" si="5"/>
        <v>0</v>
      </c>
      <c r="O45" s="50">
        <f t="shared" si="5"/>
        <v>-40320</v>
      </c>
    </row>
    <row r="46" spans="1:9">
      <c r="A46" s="38"/>
      <c r="B46" s="38"/>
      <c r="C46" s="38"/>
      <c r="D46" s="38"/>
      <c r="E46" s="38"/>
      <c r="F46" s="38"/>
      <c r="G46" s="38"/>
      <c r="H46" s="38"/>
      <c r="I46" s="38"/>
    </row>
    <row r="47" spans="1:9">
      <c r="A47" s="38"/>
      <c r="B47" s="38"/>
      <c r="C47" s="38"/>
      <c r="D47" s="38"/>
      <c r="E47" s="38"/>
      <c r="F47" s="38"/>
      <c r="G47" s="38"/>
      <c r="H47" s="38"/>
      <c r="I47" s="38"/>
    </row>
    <row r="48" spans="1:9">
      <c r="A48" s="38"/>
      <c r="B48" s="38"/>
      <c r="C48" s="38"/>
      <c r="D48" s="38"/>
      <c r="E48" s="38"/>
      <c r="F48" s="38"/>
      <c r="G48" s="38"/>
      <c r="H48" s="38"/>
      <c r="I48" s="38"/>
    </row>
    <row r="49" spans="1:9">
      <c r="A49" s="38"/>
      <c r="B49" s="38"/>
      <c r="C49" s="38"/>
      <c r="D49" s="38"/>
      <c r="E49" s="38"/>
      <c r="F49" s="38"/>
      <c r="G49" s="38"/>
      <c r="H49" s="38"/>
      <c r="I49" s="38"/>
    </row>
    <row r="50" spans="1:9">
      <c r="A50" s="38"/>
      <c r="B50" s="38"/>
      <c r="C50" s="38"/>
      <c r="D50" s="38"/>
      <c r="E50" s="38"/>
      <c r="F50" s="38"/>
      <c r="G50" s="38"/>
      <c r="H50" s="38"/>
      <c r="I50" s="38"/>
    </row>
    <row r="51" spans="1:9">
      <c r="A51" s="38"/>
      <c r="B51" s="38"/>
      <c r="C51" s="38"/>
      <c r="D51" s="38"/>
      <c r="E51" s="38"/>
      <c r="F51" s="38"/>
      <c r="G51" s="38"/>
      <c r="H51" s="38"/>
      <c r="I51" s="38"/>
    </row>
  </sheetData>
  <mergeCells count="46">
    <mergeCell ref="A2:O2"/>
    <mergeCell ref="D3:M3"/>
    <mergeCell ref="D4:F4"/>
    <mergeCell ref="D5:F5"/>
    <mergeCell ref="D6:F6"/>
    <mergeCell ref="D7:F7"/>
    <mergeCell ref="A9:O9"/>
    <mergeCell ref="E10:L10"/>
    <mergeCell ref="E11:F11"/>
    <mergeCell ref="E12:F12"/>
    <mergeCell ref="E13:F13"/>
    <mergeCell ref="E14:F14"/>
    <mergeCell ref="A16:O16"/>
    <mergeCell ref="D17:M17"/>
    <mergeCell ref="D18:F18"/>
    <mergeCell ref="D19:F19"/>
    <mergeCell ref="D20:F20"/>
    <mergeCell ref="A24:O24"/>
    <mergeCell ref="D25:M25"/>
    <mergeCell ref="D26:F26"/>
    <mergeCell ref="D27:F27"/>
    <mergeCell ref="D28:F28"/>
    <mergeCell ref="D29:F29"/>
    <mergeCell ref="A33:J33"/>
    <mergeCell ref="A34:H34"/>
    <mergeCell ref="A40:H40"/>
    <mergeCell ref="A41:O41"/>
    <mergeCell ref="D42:M42"/>
    <mergeCell ref="D43:F43"/>
    <mergeCell ref="D44:F44"/>
    <mergeCell ref="D45:F45"/>
    <mergeCell ref="A3:A4"/>
    <mergeCell ref="A10:A11"/>
    <mergeCell ref="A17:A18"/>
    <mergeCell ref="A25:A26"/>
    <mergeCell ref="A42:A43"/>
    <mergeCell ref="C3:C4"/>
    <mergeCell ref="C10:C11"/>
    <mergeCell ref="C17:C18"/>
    <mergeCell ref="C25:C26"/>
    <mergeCell ref="C42:C43"/>
    <mergeCell ref="N3:N4"/>
    <mergeCell ref="N10:N11"/>
    <mergeCell ref="N17:N18"/>
    <mergeCell ref="N25:N26"/>
    <mergeCell ref="N42:N43"/>
  </mergeCells>
  <pageMargins left="0.75" right="0.75" top="1" bottom="1" header="0.5" footer="0.5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workbookViewId="0">
      <selection activeCell="N19" sqref="N19"/>
    </sheetView>
  </sheetViews>
  <sheetFormatPr defaultColWidth="9" defaultRowHeight="13.5"/>
  <cols>
    <col min="1" max="2" width="6.625" style="1" customWidth="1"/>
    <col min="3" max="3" width="21.5" style="1" customWidth="1"/>
    <col min="4" max="4" width="15.125" style="16" customWidth="1"/>
    <col min="5" max="5" width="15.125" style="1" customWidth="1"/>
    <col min="6" max="6" width="7.25" style="1" customWidth="1"/>
    <col min="7" max="7" width="29.75" style="1" customWidth="1"/>
    <col min="10" max="10" width="10.375" hidden="1" customWidth="1"/>
    <col min="11" max="11" width="9.375" hidden="1" customWidth="1"/>
    <col min="12" max="12" width="9" hidden="1" customWidth="1"/>
  </cols>
  <sheetData>
    <row r="1" ht="18" customHeight="1" spans="1:8">
      <c r="A1" s="17" t="s">
        <v>39</v>
      </c>
      <c r="B1" s="17"/>
      <c r="C1" s="17"/>
      <c r="D1" s="18"/>
      <c r="E1" s="17"/>
      <c r="F1" s="17"/>
      <c r="G1" s="5"/>
      <c r="H1" s="5"/>
    </row>
    <row r="2" ht="17" customHeight="1" spans="1:8">
      <c r="A2" s="19" t="s">
        <v>40</v>
      </c>
      <c r="B2" s="20" t="s">
        <v>41</v>
      </c>
      <c r="C2" s="20" t="s">
        <v>42</v>
      </c>
      <c r="D2" s="21" t="s">
        <v>43</v>
      </c>
      <c r="E2" s="22"/>
      <c r="F2" s="19" t="s">
        <v>44</v>
      </c>
      <c r="G2" s="5"/>
      <c r="H2" s="5"/>
    </row>
    <row r="3" ht="17" customHeight="1" spans="1:8">
      <c r="A3" s="19"/>
      <c r="B3" s="20"/>
      <c r="C3" s="20"/>
      <c r="D3" s="23" t="s">
        <v>45</v>
      </c>
      <c r="E3" s="24" t="s">
        <v>46</v>
      </c>
      <c r="F3" s="19"/>
      <c r="G3" s="5"/>
      <c r="H3" s="5" t="s">
        <v>47</v>
      </c>
    </row>
    <row r="4" ht="20" customHeight="1" spans="1:8">
      <c r="A4" s="5"/>
      <c r="B4" s="5"/>
      <c r="C4" s="5" t="s">
        <v>48</v>
      </c>
      <c r="D4" s="25">
        <v>53420.25</v>
      </c>
      <c r="E4" s="5" t="s">
        <v>49</v>
      </c>
      <c r="F4" s="5"/>
      <c r="G4" s="26" t="s">
        <v>50</v>
      </c>
      <c r="H4" s="5">
        <v>2288</v>
      </c>
    </row>
    <row r="5" ht="20" customHeight="1" spans="1:8">
      <c r="A5" s="5"/>
      <c r="B5" s="5"/>
      <c r="C5" s="5"/>
      <c r="D5" s="25">
        <v>151420</v>
      </c>
      <c r="E5" s="5" t="s">
        <v>51</v>
      </c>
      <c r="F5" s="5"/>
      <c r="G5" s="27"/>
      <c r="H5" s="5">
        <f>616+2552</f>
        <v>3168</v>
      </c>
    </row>
    <row r="6" ht="20" customHeight="1" spans="1:12">
      <c r="A6" s="5"/>
      <c r="B6" s="5"/>
      <c r="C6" s="5"/>
      <c r="D6" s="25">
        <v>310599.95</v>
      </c>
      <c r="E6" s="5" t="s">
        <v>52</v>
      </c>
      <c r="F6" s="5"/>
      <c r="G6" s="27"/>
      <c r="H6" s="5">
        <v>5720</v>
      </c>
      <c r="J6" s="32"/>
      <c r="K6">
        <v>38604.38</v>
      </c>
      <c r="L6" s="33"/>
    </row>
    <row r="7" ht="20" customHeight="1" spans="1:12">
      <c r="A7" s="5"/>
      <c r="B7" s="5"/>
      <c r="C7" s="5"/>
      <c r="D7" s="25">
        <v>214055.08</v>
      </c>
      <c r="E7" s="5" t="s">
        <v>53</v>
      </c>
      <c r="F7" s="5"/>
      <c r="G7" s="28"/>
      <c r="H7" s="5">
        <v>4224</v>
      </c>
      <c r="L7">
        <v>116294.98</v>
      </c>
    </row>
    <row r="8" ht="20" customHeight="1" spans="1:8">
      <c r="A8" s="5"/>
      <c r="B8" s="5"/>
      <c r="C8" s="5" t="s">
        <v>54</v>
      </c>
      <c r="D8" s="25">
        <v>24842</v>
      </c>
      <c r="E8" s="5" t="s">
        <v>53</v>
      </c>
      <c r="F8" s="5"/>
      <c r="G8" s="5" t="s">
        <v>50</v>
      </c>
      <c r="H8" s="5"/>
    </row>
    <row r="9" ht="20" customHeight="1" spans="1:8">
      <c r="A9" s="5"/>
      <c r="B9" s="5"/>
      <c r="C9" s="5"/>
      <c r="D9" s="25"/>
      <c r="E9" s="5"/>
      <c r="F9" s="5"/>
      <c r="G9" s="5"/>
      <c r="H9" s="5"/>
    </row>
    <row r="10" ht="20" customHeight="1" spans="1:8">
      <c r="A10" s="5"/>
      <c r="B10" s="5"/>
      <c r="C10" s="5"/>
      <c r="D10" s="25"/>
      <c r="E10" s="5"/>
      <c r="F10" s="5"/>
      <c r="G10" s="5"/>
      <c r="H10" s="5"/>
    </row>
    <row r="11" ht="20" customHeight="1" spans="1:8">
      <c r="A11" s="5"/>
      <c r="B11" s="5"/>
      <c r="C11" s="26" t="s">
        <v>55</v>
      </c>
      <c r="D11" s="29">
        <v>257800</v>
      </c>
      <c r="E11" s="30">
        <v>45722</v>
      </c>
      <c r="F11" s="5"/>
      <c r="G11" s="26" t="s">
        <v>56</v>
      </c>
      <c r="H11" s="5"/>
    </row>
    <row r="12" ht="20" customHeight="1" spans="1:8">
      <c r="A12" s="5"/>
      <c r="B12" s="5"/>
      <c r="C12" s="28"/>
      <c r="D12" s="29">
        <v>565234.4</v>
      </c>
      <c r="E12" s="30">
        <v>45736</v>
      </c>
      <c r="F12" s="6"/>
      <c r="G12" s="28"/>
      <c r="H12" s="6"/>
    </row>
    <row r="13" ht="20" customHeight="1"/>
    <row r="14" ht="20" customHeight="1"/>
    <row r="15" ht="20" customHeight="1" spans="1:8">
      <c r="A15" s="17" t="s">
        <v>57</v>
      </c>
      <c r="B15" s="17"/>
      <c r="C15" s="17"/>
      <c r="D15" s="18"/>
      <c r="E15" s="17"/>
      <c r="F15" s="17"/>
      <c r="G15" s="5"/>
      <c r="H15" s="5"/>
    </row>
    <row r="16" ht="20" customHeight="1" spans="1:8">
      <c r="A16" s="19" t="s">
        <v>40</v>
      </c>
      <c r="B16" s="20" t="s">
        <v>41</v>
      </c>
      <c r="C16" s="20" t="s">
        <v>42</v>
      </c>
      <c r="D16" s="21" t="s">
        <v>43</v>
      </c>
      <c r="E16" s="22"/>
      <c r="F16" s="19" t="s">
        <v>44</v>
      </c>
      <c r="G16" s="5"/>
      <c r="H16" s="5"/>
    </row>
    <row r="17" ht="20" customHeight="1" spans="1:8">
      <c r="A17" s="19"/>
      <c r="B17" s="20"/>
      <c r="C17" s="20"/>
      <c r="D17" s="23" t="s">
        <v>45</v>
      </c>
      <c r="E17" s="24" t="s">
        <v>46</v>
      </c>
      <c r="F17" s="19"/>
      <c r="G17" s="5"/>
      <c r="H17" s="5" t="s">
        <v>47</v>
      </c>
    </row>
    <row r="18" ht="20" customHeight="1" spans="1:10">
      <c r="A18" s="5"/>
      <c r="B18" s="5"/>
      <c r="C18" s="5" t="s">
        <v>48</v>
      </c>
      <c r="D18" s="29">
        <v>154899.36</v>
      </c>
      <c r="E18" s="31" t="s">
        <v>58</v>
      </c>
      <c r="F18" s="5"/>
      <c r="G18" s="5" t="s">
        <v>50</v>
      </c>
      <c r="H18" s="5">
        <f>3422+826</f>
        <v>4248</v>
      </c>
      <c r="J18" s="34">
        <v>116294.98</v>
      </c>
    </row>
    <row r="19" ht="20" customHeight="1" spans="1:10">
      <c r="A19" s="5"/>
      <c r="B19" s="5"/>
      <c r="C19" s="5"/>
      <c r="D19" s="29">
        <v>401320.73</v>
      </c>
      <c r="E19" s="31" t="s">
        <v>59</v>
      </c>
      <c r="F19" s="5"/>
      <c r="G19" s="5"/>
      <c r="H19" s="5">
        <f>7434+3029</f>
        <v>10463</v>
      </c>
      <c r="J19">
        <v>38604.38</v>
      </c>
    </row>
    <row r="20" ht="20" customHeight="1" spans="1:8">
      <c r="A20" s="5"/>
      <c r="B20" s="5"/>
      <c r="C20" s="5"/>
      <c r="D20" s="29">
        <v>216155.57</v>
      </c>
      <c r="E20" s="31" t="s">
        <v>60</v>
      </c>
      <c r="F20" s="5"/>
      <c r="G20" s="5"/>
      <c r="H20" s="5">
        <v>5664</v>
      </c>
    </row>
    <row r="21" ht="20" customHeight="1" spans="1:8">
      <c r="A21" s="5"/>
      <c r="B21" s="5"/>
      <c r="C21" s="27"/>
      <c r="D21" s="29"/>
      <c r="E21" s="31"/>
      <c r="F21" s="5"/>
      <c r="G21" s="5"/>
      <c r="H21" s="5"/>
    </row>
    <row r="22" ht="20" customHeight="1" spans="1:8">
      <c r="A22" s="5"/>
      <c r="B22" s="5"/>
      <c r="C22" s="5"/>
      <c r="D22" s="25"/>
      <c r="E22" s="5"/>
      <c r="F22" s="5"/>
      <c r="G22" s="5"/>
      <c r="H22" s="5"/>
    </row>
    <row r="23" ht="20" customHeight="1" spans="1:8">
      <c r="A23" s="5"/>
      <c r="B23" s="5"/>
      <c r="C23" s="26" t="s">
        <v>55</v>
      </c>
      <c r="D23" s="29">
        <v>10000</v>
      </c>
      <c r="E23" s="31" t="s">
        <v>61</v>
      </c>
      <c r="F23" s="5"/>
      <c r="G23" s="26" t="s">
        <v>56</v>
      </c>
      <c r="H23" s="5"/>
    </row>
    <row r="24" ht="20" customHeight="1" spans="1:8">
      <c r="A24" s="5"/>
      <c r="B24" s="5"/>
      <c r="C24" s="27"/>
      <c r="D24" s="29">
        <v>257800</v>
      </c>
      <c r="E24" s="31" t="s">
        <v>59</v>
      </c>
      <c r="F24" s="5"/>
      <c r="G24" s="27"/>
      <c r="H24" s="5"/>
    </row>
    <row r="25" ht="20" customHeight="1" spans="1:8">
      <c r="A25" s="5"/>
      <c r="B25" s="5"/>
      <c r="C25" s="28"/>
      <c r="D25" s="29">
        <v>575005.83</v>
      </c>
      <c r="E25" s="31" t="s">
        <v>62</v>
      </c>
      <c r="F25" s="6"/>
      <c r="G25" s="28"/>
      <c r="H25" s="6"/>
    </row>
    <row r="26" ht="20" customHeight="1" spans="1:6">
      <c r="A26"/>
      <c r="B26"/>
      <c r="C26"/>
      <c r="E26"/>
      <c r="F26"/>
    </row>
  </sheetData>
  <mergeCells count="20">
    <mergeCell ref="A1:F1"/>
    <mergeCell ref="D2:E2"/>
    <mergeCell ref="A15:F15"/>
    <mergeCell ref="D16:E16"/>
    <mergeCell ref="A2:A3"/>
    <mergeCell ref="A16:A17"/>
    <mergeCell ref="B2:B3"/>
    <mergeCell ref="B16:B17"/>
    <mergeCell ref="C2:C3"/>
    <mergeCell ref="C4:C7"/>
    <mergeCell ref="C11:C12"/>
    <mergeCell ref="C16:C17"/>
    <mergeCell ref="C18:C20"/>
    <mergeCell ref="C23:C25"/>
    <mergeCell ref="F2:F3"/>
    <mergeCell ref="F16:F17"/>
    <mergeCell ref="G4:G7"/>
    <mergeCell ref="G11:G12"/>
    <mergeCell ref="G18:G20"/>
    <mergeCell ref="G23:G2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tabSelected="1" topLeftCell="G1" workbookViewId="0">
      <pane ySplit="1" topLeftCell="A2" activePane="bottomLeft" state="frozen"/>
      <selection/>
      <selection pane="bottomLeft" activeCell="L25" sqref="L25"/>
    </sheetView>
  </sheetViews>
  <sheetFormatPr defaultColWidth="9" defaultRowHeight="13.5"/>
  <cols>
    <col min="4" max="4" width="11.25" customWidth="1"/>
    <col min="5" max="5" width="23.75" customWidth="1"/>
    <col min="6" max="6" width="36.875" customWidth="1"/>
    <col min="7" max="7" width="45.125" customWidth="1"/>
    <col min="8" max="8" width="13.75" style="7" customWidth="1"/>
    <col min="9" max="9" width="15.5" style="7" customWidth="1"/>
    <col min="10" max="11" width="27.125" customWidth="1"/>
    <col min="12" max="12" width="28.375" customWidth="1"/>
    <col min="13" max="13" width="14.5" customWidth="1"/>
  </cols>
  <sheetData>
    <row r="1" s="1" customFormat="1" ht="33" customHeight="1" spans="1:13">
      <c r="A1" s="8" t="s">
        <v>63</v>
      </c>
      <c r="B1" s="8" t="s">
        <v>64</v>
      </c>
      <c r="C1" s="8" t="s">
        <v>65</v>
      </c>
      <c r="D1" s="8" t="s">
        <v>66</v>
      </c>
      <c r="E1" s="8" t="s">
        <v>67</v>
      </c>
      <c r="F1" s="8" t="s">
        <v>68</v>
      </c>
      <c r="G1" s="8" t="s">
        <v>69</v>
      </c>
      <c r="H1" s="9" t="s">
        <v>70</v>
      </c>
      <c r="I1" s="9" t="s">
        <v>71</v>
      </c>
      <c r="J1" s="5" t="s">
        <v>44</v>
      </c>
      <c r="L1" s="1" t="s">
        <v>72</v>
      </c>
      <c r="M1" s="1" t="s">
        <v>73</v>
      </c>
    </row>
    <row r="2" spans="1:14">
      <c r="A2" s="10" t="s">
        <v>74</v>
      </c>
      <c r="B2" s="10" t="s">
        <v>74</v>
      </c>
      <c r="C2" s="10" t="s">
        <v>75</v>
      </c>
      <c r="D2" s="10" t="s">
        <v>76</v>
      </c>
      <c r="E2" s="10" t="s">
        <v>77</v>
      </c>
      <c r="F2" s="10" t="s">
        <v>78</v>
      </c>
      <c r="G2" s="10" t="s">
        <v>79</v>
      </c>
      <c r="H2" s="11">
        <v>0</v>
      </c>
      <c r="I2" s="11">
        <v>25.54</v>
      </c>
      <c r="J2" s="6" t="s">
        <v>80</v>
      </c>
      <c r="K2" s="6"/>
      <c r="L2" s="6" t="s">
        <v>80</v>
      </c>
      <c r="M2" s="6">
        <f>SUMIFS(I:I,J:J,L2)</f>
        <v>105378.81</v>
      </c>
      <c r="N2">
        <f>M2-'2025.3-4结算'!J27</f>
        <v>0</v>
      </c>
    </row>
    <row r="3" spans="1:13">
      <c r="A3" s="10" t="s">
        <v>49</v>
      </c>
      <c r="B3" s="10" t="s">
        <v>49</v>
      </c>
      <c r="C3" s="10" t="s">
        <v>81</v>
      </c>
      <c r="D3" s="10" t="s">
        <v>76</v>
      </c>
      <c r="E3" s="10" t="s">
        <v>82</v>
      </c>
      <c r="F3" s="10" t="s">
        <v>83</v>
      </c>
      <c r="G3" s="10" t="s">
        <v>84</v>
      </c>
      <c r="H3" s="11">
        <v>53420.25</v>
      </c>
      <c r="I3" s="11">
        <v>0</v>
      </c>
      <c r="J3" s="6" t="s">
        <v>85</v>
      </c>
      <c r="K3" s="6"/>
      <c r="L3" s="6" t="s">
        <v>85</v>
      </c>
      <c r="M3" s="6">
        <f>SUMIFS(I:I,J:J,L3)</f>
        <v>0</v>
      </c>
    </row>
    <row r="4" spans="1:14">
      <c r="A4" s="10" t="s">
        <v>49</v>
      </c>
      <c r="B4" s="10" t="s">
        <v>49</v>
      </c>
      <c r="C4" s="10" t="s">
        <v>86</v>
      </c>
      <c r="D4" s="10" t="s">
        <v>76</v>
      </c>
      <c r="E4" s="10" t="s">
        <v>87</v>
      </c>
      <c r="F4" s="10" t="s">
        <v>78</v>
      </c>
      <c r="G4" s="10" t="s">
        <v>88</v>
      </c>
      <c r="H4" s="11">
        <v>0</v>
      </c>
      <c r="I4" s="11">
        <v>340</v>
      </c>
      <c r="J4" s="6" t="s">
        <v>80</v>
      </c>
      <c r="K4" s="6"/>
      <c r="L4" s="6" t="s">
        <v>89</v>
      </c>
      <c r="M4" s="6">
        <f>SUMIFS(I:I,J:J,L4)</f>
        <v>66000</v>
      </c>
      <c r="N4">
        <f>M4-'2025.3-4结算'!H27</f>
        <v>0</v>
      </c>
    </row>
    <row r="5" spans="1:14">
      <c r="A5" s="10" t="s">
        <v>51</v>
      </c>
      <c r="B5" s="10" t="s">
        <v>51</v>
      </c>
      <c r="C5" s="10" t="s">
        <v>90</v>
      </c>
      <c r="D5" s="10" t="s">
        <v>76</v>
      </c>
      <c r="E5" s="10" t="s">
        <v>82</v>
      </c>
      <c r="F5" s="10" t="s">
        <v>83</v>
      </c>
      <c r="G5" s="10" t="s">
        <v>84</v>
      </c>
      <c r="H5" s="11">
        <v>151420</v>
      </c>
      <c r="I5" s="11">
        <v>0</v>
      </c>
      <c r="J5" s="6" t="s">
        <v>85</v>
      </c>
      <c r="K5" s="6"/>
      <c r="L5" s="6" t="s">
        <v>91</v>
      </c>
      <c r="M5" s="6">
        <f>SUMIFS(I:I,J:J,L5)</f>
        <v>39624.63</v>
      </c>
      <c r="N5">
        <f>M5-'2025.3-4结算'!I5</f>
        <v>0</v>
      </c>
    </row>
    <row r="6" ht="22.5" spans="1:13">
      <c r="A6" s="10" t="s">
        <v>51</v>
      </c>
      <c r="B6" s="10" t="s">
        <v>51</v>
      </c>
      <c r="C6" s="10" t="s">
        <v>92</v>
      </c>
      <c r="D6" s="10" t="s">
        <v>76</v>
      </c>
      <c r="E6" s="12" t="s">
        <v>93</v>
      </c>
      <c r="F6" s="10" t="s">
        <v>94</v>
      </c>
      <c r="G6" s="10" t="s">
        <v>95</v>
      </c>
      <c r="H6" s="11">
        <v>0</v>
      </c>
      <c r="I6" s="11">
        <v>33000</v>
      </c>
      <c r="J6" s="6" t="s">
        <v>89</v>
      </c>
      <c r="K6" s="6"/>
      <c r="L6" s="6" t="s">
        <v>96</v>
      </c>
      <c r="M6" s="6">
        <f>SUMIFS(I:I,J:J,L6)</f>
        <v>0</v>
      </c>
    </row>
    <row r="7" spans="1:14">
      <c r="A7" s="10" t="s">
        <v>97</v>
      </c>
      <c r="B7" s="10" t="s">
        <v>98</v>
      </c>
      <c r="C7" s="10" t="s">
        <v>99</v>
      </c>
      <c r="D7" s="10" t="s">
        <v>76</v>
      </c>
      <c r="E7" s="10" t="s">
        <v>100</v>
      </c>
      <c r="F7" s="10" t="s">
        <v>94</v>
      </c>
      <c r="G7" s="10" t="s">
        <v>101</v>
      </c>
      <c r="H7" s="11">
        <v>257800</v>
      </c>
      <c r="I7" s="11">
        <v>0</v>
      </c>
      <c r="J7" s="6" t="s">
        <v>89</v>
      </c>
      <c r="K7" s="6"/>
      <c r="L7" s="6" t="s">
        <v>102</v>
      </c>
      <c r="M7" s="6">
        <f>SUMIFS(I:I,J:J,L7)</f>
        <v>179827.11</v>
      </c>
      <c r="N7">
        <f>M7-'2025.3-4结算'!J28</f>
        <v>0</v>
      </c>
    </row>
    <row r="8" spans="1:14">
      <c r="A8" s="10" t="s">
        <v>103</v>
      </c>
      <c r="B8" s="10" t="s">
        <v>103</v>
      </c>
      <c r="C8" s="10" t="s">
        <v>104</v>
      </c>
      <c r="D8" s="10" t="s">
        <v>76</v>
      </c>
      <c r="E8" s="10" t="s">
        <v>105</v>
      </c>
      <c r="F8" s="10" t="s">
        <v>106</v>
      </c>
      <c r="G8" s="10" t="s">
        <v>107</v>
      </c>
      <c r="H8" s="11">
        <v>0</v>
      </c>
      <c r="I8" s="11">
        <v>1929.63</v>
      </c>
      <c r="J8" s="6" t="s">
        <v>91</v>
      </c>
      <c r="K8" s="6"/>
      <c r="L8" s="6" t="s">
        <v>108</v>
      </c>
      <c r="M8" s="6">
        <f>SUMIFS(I:I,J:J,L8)</f>
        <v>47014.79</v>
      </c>
      <c r="N8">
        <f>M8-'2025.3-4结算'!H28</f>
        <v>0</v>
      </c>
    </row>
    <row r="9" spans="1:14">
      <c r="A9" s="10" t="s">
        <v>52</v>
      </c>
      <c r="B9" s="10" t="s">
        <v>52</v>
      </c>
      <c r="C9" s="10" t="s">
        <v>109</v>
      </c>
      <c r="D9" s="10" t="s">
        <v>76</v>
      </c>
      <c r="E9" s="10" t="s">
        <v>82</v>
      </c>
      <c r="F9" s="10" t="s">
        <v>83</v>
      </c>
      <c r="G9" s="10" t="s">
        <v>84</v>
      </c>
      <c r="H9" s="11">
        <v>310599.95</v>
      </c>
      <c r="I9" s="11">
        <v>0</v>
      </c>
      <c r="J9" s="6" t="s">
        <v>85</v>
      </c>
      <c r="K9" s="6"/>
      <c r="L9" s="6" t="s">
        <v>110</v>
      </c>
      <c r="M9" s="6">
        <f>SUMIFS(I:I,J:J,L9)</f>
        <v>179.67</v>
      </c>
      <c r="N9">
        <f>M9-'2025.3-4结算'!I13</f>
        <v>0</v>
      </c>
    </row>
    <row r="10" spans="1:14">
      <c r="A10" s="10" t="s">
        <v>52</v>
      </c>
      <c r="B10" s="10" t="s">
        <v>52</v>
      </c>
      <c r="C10" s="10" t="s">
        <v>111</v>
      </c>
      <c r="D10" s="10" t="s">
        <v>76</v>
      </c>
      <c r="E10" s="10" t="s">
        <v>112</v>
      </c>
      <c r="F10" s="10" t="s">
        <v>78</v>
      </c>
      <c r="G10" s="10" t="s">
        <v>113</v>
      </c>
      <c r="H10" s="11">
        <v>0</v>
      </c>
      <c r="I10" s="11">
        <v>61096.55</v>
      </c>
      <c r="J10" s="6" t="s">
        <v>80</v>
      </c>
      <c r="K10" s="6"/>
      <c r="L10" s="6" t="s">
        <v>114</v>
      </c>
      <c r="M10" s="6">
        <f>SUMIFS(I:I,J:J,L10)</f>
        <v>47288.81</v>
      </c>
      <c r="N10">
        <f>M10-'2025.3-4结算'!I6</f>
        <v>0</v>
      </c>
    </row>
    <row r="11" spans="1:13">
      <c r="A11" s="10" t="s">
        <v>115</v>
      </c>
      <c r="B11" s="10" t="s">
        <v>52</v>
      </c>
      <c r="C11" s="10" t="s">
        <v>116</v>
      </c>
      <c r="D11" s="10" t="s">
        <v>76</v>
      </c>
      <c r="E11" s="10" t="s">
        <v>117</v>
      </c>
      <c r="F11" s="10" t="s">
        <v>78</v>
      </c>
      <c r="G11" s="10" t="s">
        <v>118</v>
      </c>
      <c r="H11" s="11">
        <v>0</v>
      </c>
      <c r="I11" s="11">
        <v>29204.48</v>
      </c>
      <c r="J11" s="6" t="s">
        <v>80</v>
      </c>
      <c r="K11" s="6"/>
      <c r="L11" s="6" t="s">
        <v>119</v>
      </c>
      <c r="M11" s="6">
        <f>SUMIFS(I:I,J:J,L11)</f>
        <v>28602.58</v>
      </c>
    </row>
    <row r="12" customFormat="1" spans="1:10">
      <c r="A12" s="10" t="s">
        <v>103</v>
      </c>
      <c r="B12" s="10" t="s">
        <v>52</v>
      </c>
      <c r="C12" s="10" t="s">
        <v>120</v>
      </c>
      <c r="D12" s="10" t="s">
        <v>76</v>
      </c>
      <c r="E12" s="10" t="s">
        <v>121</v>
      </c>
      <c r="F12" s="10" t="s">
        <v>106</v>
      </c>
      <c r="G12" s="10" t="s">
        <v>122</v>
      </c>
      <c r="H12" s="11">
        <v>0</v>
      </c>
      <c r="I12" s="11">
        <v>35420</v>
      </c>
      <c r="J12" s="6" t="s">
        <v>91</v>
      </c>
    </row>
    <row r="13" customFormat="1" spans="1:10">
      <c r="A13" s="10" t="s">
        <v>103</v>
      </c>
      <c r="B13" s="10" t="s">
        <v>52</v>
      </c>
      <c r="C13" s="10" t="s">
        <v>120</v>
      </c>
      <c r="D13" s="10" t="s">
        <v>76</v>
      </c>
      <c r="E13" s="10" t="s">
        <v>121</v>
      </c>
      <c r="F13" s="10" t="s">
        <v>106</v>
      </c>
      <c r="G13" s="10" t="s">
        <v>123</v>
      </c>
      <c r="H13" s="11">
        <v>0</v>
      </c>
      <c r="I13" s="11">
        <v>200</v>
      </c>
      <c r="J13" s="6" t="s">
        <v>91</v>
      </c>
    </row>
    <row r="14" customFormat="1" spans="1:10">
      <c r="A14" s="10" t="s">
        <v>103</v>
      </c>
      <c r="B14" s="10" t="s">
        <v>52</v>
      </c>
      <c r="C14" s="10" t="s">
        <v>116</v>
      </c>
      <c r="D14" s="10" t="s">
        <v>76</v>
      </c>
      <c r="E14" s="10" t="s">
        <v>117</v>
      </c>
      <c r="F14" s="10" t="s">
        <v>78</v>
      </c>
      <c r="G14" s="10" t="s">
        <v>118</v>
      </c>
      <c r="H14" s="11">
        <v>0</v>
      </c>
      <c r="I14" s="11">
        <v>14372.24</v>
      </c>
      <c r="J14" s="6" t="s">
        <v>80</v>
      </c>
    </row>
    <row r="15" customFormat="1" spans="1:10">
      <c r="A15" s="10" t="s">
        <v>52</v>
      </c>
      <c r="B15" s="10" t="s">
        <v>52</v>
      </c>
      <c r="C15" s="10" t="s">
        <v>124</v>
      </c>
      <c r="D15" s="10" t="s">
        <v>76</v>
      </c>
      <c r="E15" s="10" t="s">
        <v>125</v>
      </c>
      <c r="F15" s="10" t="s">
        <v>106</v>
      </c>
      <c r="G15" s="10" t="s">
        <v>126</v>
      </c>
      <c r="H15" s="11">
        <v>0</v>
      </c>
      <c r="I15" s="11">
        <v>2075</v>
      </c>
      <c r="J15" s="6" t="s">
        <v>91</v>
      </c>
    </row>
    <row r="16" customFormat="1" spans="1:10">
      <c r="A16" s="10" t="s">
        <v>127</v>
      </c>
      <c r="B16" s="10" t="s">
        <v>127</v>
      </c>
      <c r="C16" s="10" t="s">
        <v>99</v>
      </c>
      <c r="D16" s="10" t="s">
        <v>76</v>
      </c>
      <c r="E16" s="10" t="s">
        <v>128</v>
      </c>
      <c r="F16" s="10" t="s">
        <v>94</v>
      </c>
      <c r="G16" s="10" t="s">
        <v>101</v>
      </c>
      <c r="H16" s="11">
        <v>565234.4</v>
      </c>
      <c r="I16" s="11">
        <v>0</v>
      </c>
      <c r="J16" s="6" t="s">
        <v>89</v>
      </c>
    </row>
    <row r="17" customFormat="1" spans="1:10">
      <c r="A17" s="10" t="s">
        <v>53</v>
      </c>
      <c r="B17" s="10" t="s">
        <v>53</v>
      </c>
      <c r="C17" s="10" t="s">
        <v>129</v>
      </c>
      <c r="D17" s="10" t="s">
        <v>76</v>
      </c>
      <c r="E17" s="10" t="s">
        <v>130</v>
      </c>
      <c r="F17" s="10" t="s">
        <v>83</v>
      </c>
      <c r="G17" s="10" t="s">
        <v>84</v>
      </c>
      <c r="H17" s="11">
        <v>214055.08</v>
      </c>
      <c r="I17" s="11">
        <v>0</v>
      </c>
      <c r="J17" s="6" t="s">
        <v>85</v>
      </c>
    </row>
    <row r="18" customFormat="1" ht="22" customHeight="1" spans="1:10">
      <c r="A18" s="10" t="s">
        <v>131</v>
      </c>
      <c r="B18" s="10" t="s">
        <v>53</v>
      </c>
      <c r="C18" s="10" t="s">
        <v>132</v>
      </c>
      <c r="D18" s="10" t="s">
        <v>76</v>
      </c>
      <c r="E18" s="12" t="s">
        <v>133</v>
      </c>
      <c r="F18" s="10" t="s">
        <v>83</v>
      </c>
      <c r="G18" s="10" t="s">
        <v>134</v>
      </c>
      <c r="H18" s="11">
        <v>24842</v>
      </c>
      <c r="I18" s="11">
        <v>0</v>
      </c>
      <c r="J18" s="6" t="s">
        <v>96</v>
      </c>
    </row>
    <row r="19" customFormat="1" ht="22.5" spans="1:10">
      <c r="A19" s="10" t="s">
        <v>135</v>
      </c>
      <c r="B19" s="10" t="s">
        <v>136</v>
      </c>
      <c r="C19" s="10" t="s">
        <v>137</v>
      </c>
      <c r="D19" s="10" t="s">
        <v>76</v>
      </c>
      <c r="E19" s="12" t="s">
        <v>138</v>
      </c>
      <c r="F19" s="10" t="s">
        <v>94</v>
      </c>
      <c r="G19" s="10" t="s">
        <v>95</v>
      </c>
      <c r="H19" s="11">
        <v>0</v>
      </c>
      <c r="I19" s="11">
        <v>33000</v>
      </c>
      <c r="J19" s="6" t="s">
        <v>89</v>
      </c>
    </row>
    <row r="20" customFormat="1" spans="1:10">
      <c r="A20" s="10" t="s">
        <v>135</v>
      </c>
      <c r="B20" s="10" t="s">
        <v>135</v>
      </c>
      <c r="C20" s="10" t="s">
        <v>86</v>
      </c>
      <c r="D20" s="10" t="s">
        <v>76</v>
      </c>
      <c r="E20" s="10" t="s">
        <v>139</v>
      </c>
      <c r="F20" s="10" t="s">
        <v>78</v>
      </c>
      <c r="G20" s="10" t="s">
        <v>88</v>
      </c>
      <c r="H20" s="11">
        <v>0</v>
      </c>
      <c r="I20" s="11">
        <v>340</v>
      </c>
      <c r="J20" s="6" t="s">
        <v>80</v>
      </c>
    </row>
    <row r="21" customFormat="1" spans="1:10">
      <c r="A21" s="10" t="s">
        <v>140</v>
      </c>
      <c r="B21" s="10" t="s">
        <v>140</v>
      </c>
      <c r="C21" s="10" t="s">
        <v>141</v>
      </c>
      <c r="D21" s="10" t="s">
        <v>142</v>
      </c>
      <c r="E21" s="10" t="s">
        <v>77</v>
      </c>
      <c r="F21" s="10" t="s">
        <v>78</v>
      </c>
      <c r="G21" s="10" t="s">
        <v>79</v>
      </c>
      <c r="H21" s="11">
        <v>0</v>
      </c>
      <c r="I21" s="11">
        <v>26.08</v>
      </c>
      <c r="J21" s="6" t="s">
        <v>102</v>
      </c>
    </row>
    <row r="22" customFormat="1" ht="33.75" spans="1:10">
      <c r="A22" s="10" t="s">
        <v>143</v>
      </c>
      <c r="B22" s="10" t="s">
        <v>61</v>
      </c>
      <c r="C22" s="10" t="s">
        <v>144</v>
      </c>
      <c r="D22" s="10" t="s">
        <v>142</v>
      </c>
      <c r="E22" s="12" t="s">
        <v>145</v>
      </c>
      <c r="F22" s="10" t="s">
        <v>94</v>
      </c>
      <c r="G22" s="10" t="s">
        <v>146</v>
      </c>
      <c r="H22" s="11">
        <v>257800</v>
      </c>
      <c r="I22" s="11">
        <v>0</v>
      </c>
      <c r="J22" s="6" t="s">
        <v>108</v>
      </c>
    </row>
    <row r="23" customFormat="1" spans="1:10">
      <c r="A23" s="10" t="s">
        <v>147</v>
      </c>
      <c r="B23" s="10" t="s">
        <v>58</v>
      </c>
      <c r="C23" s="10" t="s">
        <v>148</v>
      </c>
      <c r="D23" s="10" t="s">
        <v>142</v>
      </c>
      <c r="E23" s="10" t="s">
        <v>82</v>
      </c>
      <c r="F23" s="10" t="s">
        <v>83</v>
      </c>
      <c r="G23" s="10" t="s">
        <v>84</v>
      </c>
      <c r="H23" s="11">
        <v>154899.36</v>
      </c>
      <c r="I23" s="11">
        <v>0</v>
      </c>
      <c r="J23" s="6" t="s">
        <v>110</v>
      </c>
    </row>
    <row r="24" customFormat="1" spans="1:10">
      <c r="A24" s="10" t="s">
        <v>147</v>
      </c>
      <c r="B24" s="10" t="s">
        <v>59</v>
      </c>
      <c r="C24" s="10" t="s">
        <v>149</v>
      </c>
      <c r="D24" s="10" t="s">
        <v>142</v>
      </c>
      <c r="E24" s="10" t="s">
        <v>82</v>
      </c>
      <c r="F24" s="10" t="s">
        <v>83</v>
      </c>
      <c r="G24" s="10" t="s">
        <v>84</v>
      </c>
      <c r="H24" s="11">
        <v>401320.73</v>
      </c>
      <c r="I24" s="11">
        <v>0</v>
      </c>
      <c r="J24" s="6" t="s">
        <v>110</v>
      </c>
    </row>
    <row r="25" customFormat="1" ht="33.75" spans="1:10">
      <c r="A25" s="10" t="s">
        <v>143</v>
      </c>
      <c r="B25" s="10" t="s">
        <v>59</v>
      </c>
      <c r="C25" s="10" t="s">
        <v>150</v>
      </c>
      <c r="D25" s="10" t="s">
        <v>142</v>
      </c>
      <c r="E25" s="12" t="s">
        <v>151</v>
      </c>
      <c r="F25" s="10" t="s">
        <v>94</v>
      </c>
      <c r="G25" s="10" t="s">
        <v>146</v>
      </c>
      <c r="H25" s="11">
        <v>10000</v>
      </c>
      <c r="I25" s="11">
        <v>0</v>
      </c>
      <c r="J25" s="6" t="s">
        <v>108</v>
      </c>
    </row>
    <row r="26" customFormat="1" ht="33.75" spans="1:10">
      <c r="A26" s="10" t="s">
        <v>143</v>
      </c>
      <c r="B26" s="10" t="s">
        <v>62</v>
      </c>
      <c r="C26" s="10" t="s">
        <v>150</v>
      </c>
      <c r="D26" s="10" t="s">
        <v>142</v>
      </c>
      <c r="E26" s="12" t="s">
        <v>152</v>
      </c>
      <c r="F26" s="10" t="s">
        <v>94</v>
      </c>
      <c r="G26" s="10" t="s">
        <v>146</v>
      </c>
      <c r="H26" s="11">
        <v>575005.83</v>
      </c>
      <c r="I26" s="11">
        <v>0</v>
      </c>
      <c r="J26" s="6" t="s">
        <v>108</v>
      </c>
    </row>
    <row r="27" customFormat="1" spans="1:10">
      <c r="A27" s="10" t="s">
        <v>153</v>
      </c>
      <c r="B27" s="10" t="s">
        <v>153</v>
      </c>
      <c r="C27" s="10" t="s">
        <v>154</v>
      </c>
      <c r="D27" s="10" t="s">
        <v>142</v>
      </c>
      <c r="E27" s="10" t="s">
        <v>155</v>
      </c>
      <c r="F27" s="10" t="s">
        <v>78</v>
      </c>
      <c r="G27" s="10" t="s">
        <v>113</v>
      </c>
      <c r="H27" s="11">
        <v>0</v>
      </c>
      <c r="I27" s="11">
        <v>142651.88</v>
      </c>
      <c r="J27" s="6" t="s">
        <v>102</v>
      </c>
    </row>
    <row r="28" customFormat="1" spans="1:10">
      <c r="A28" s="10" t="s">
        <v>153</v>
      </c>
      <c r="B28" s="10" t="s">
        <v>153</v>
      </c>
      <c r="C28" s="10" t="s">
        <v>154</v>
      </c>
      <c r="D28" s="10" t="s">
        <v>142</v>
      </c>
      <c r="E28" s="10" t="s">
        <v>55</v>
      </c>
      <c r="F28" s="10" t="s">
        <v>78</v>
      </c>
      <c r="G28" s="10" t="s">
        <v>88</v>
      </c>
      <c r="H28" s="11">
        <v>0</v>
      </c>
      <c r="I28" s="11">
        <v>340</v>
      </c>
      <c r="J28" s="6" t="s">
        <v>102</v>
      </c>
    </row>
    <row r="29" customFormat="1" spans="1:10">
      <c r="A29" s="10" t="s">
        <v>60</v>
      </c>
      <c r="B29" s="10" t="s">
        <v>153</v>
      </c>
      <c r="C29" s="10" t="s">
        <v>156</v>
      </c>
      <c r="D29" s="10" t="s">
        <v>142</v>
      </c>
      <c r="E29" s="10" t="s">
        <v>157</v>
      </c>
      <c r="F29" s="10" t="s">
        <v>106</v>
      </c>
      <c r="G29" s="10" t="s">
        <v>126</v>
      </c>
      <c r="H29" s="11">
        <v>0</v>
      </c>
      <c r="I29" s="11">
        <v>43783.87</v>
      </c>
      <c r="J29" s="6" t="s">
        <v>114</v>
      </c>
    </row>
    <row r="30" customFormat="1" spans="1:10">
      <c r="A30" s="10" t="s">
        <v>60</v>
      </c>
      <c r="B30" s="10" t="s">
        <v>153</v>
      </c>
      <c r="C30" s="10" t="s">
        <v>156</v>
      </c>
      <c r="D30" s="10" t="s">
        <v>142</v>
      </c>
      <c r="E30" s="10" t="s">
        <v>158</v>
      </c>
      <c r="F30" s="10" t="s">
        <v>106</v>
      </c>
      <c r="G30" s="10" t="s">
        <v>126</v>
      </c>
      <c r="H30" s="11">
        <v>0</v>
      </c>
      <c r="I30" s="11">
        <v>3304.94</v>
      </c>
      <c r="J30" s="6" t="s">
        <v>114</v>
      </c>
    </row>
    <row r="31" customFormat="1" spans="1:10">
      <c r="A31" s="10" t="s">
        <v>153</v>
      </c>
      <c r="B31" s="10" t="s">
        <v>153</v>
      </c>
      <c r="C31" s="10" t="s">
        <v>156</v>
      </c>
      <c r="D31" s="10" t="s">
        <v>142</v>
      </c>
      <c r="E31" s="10" t="s">
        <v>159</v>
      </c>
      <c r="F31" s="10" t="s">
        <v>106</v>
      </c>
      <c r="G31" s="10" t="s">
        <v>160</v>
      </c>
      <c r="H31" s="11">
        <v>0</v>
      </c>
      <c r="I31" s="11">
        <v>28322.58</v>
      </c>
      <c r="J31" s="6" t="s">
        <v>119</v>
      </c>
    </row>
    <row r="32" customFormat="1" spans="1:10">
      <c r="A32" s="10" t="s">
        <v>153</v>
      </c>
      <c r="B32" s="10" t="s">
        <v>153</v>
      </c>
      <c r="C32" s="10" t="s">
        <v>156</v>
      </c>
      <c r="D32" s="10" t="s">
        <v>142</v>
      </c>
      <c r="E32" s="10" t="s">
        <v>161</v>
      </c>
      <c r="F32" s="10" t="s">
        <v>106</v>
      </c>
      <c r="G32" s="10" t="s">
        <v>123</v>
      </c>
      <c r="H32" s="11">
        <v>0</v>
      </c>
      <c r="I32" s="11">
        <v>200</v>
      </c>
      <c r="J32" s="6" t="s">
        <v>114</v>
      </c>
    </row>
    <row r="33" customFormat="1" spans="1:10">
      <c r="A33" s="10" t="s">
        <v>60</v>
      </c>
      <c r="B33" s="10" t="s">
        <v>162</v>
      </c>
      <c r="C33" s="10" t="s">
        <v>154</v>
      </c>
      <c r="D33" s="10" t="s">
        <v>142</v>
      </c>
      <c r="E33" s="10" t="s">
        <v>163</v>
      </c>
      <c r="F33" s="10" t="s">
        <v>78</v>
      </c>
      <c r="G33" s="10" t="s">
        <v>164</v>
      </c>
      <c r="H33" s="11"/>
      <c r="I33" s="11">
        <v>-3000</v>
      </c>
      <c r="J33" s="6" t="s">
        <v>102</v>
      </c>
    </row>
    <row r="34" customFormat="1" ht="33.75" spans="1:10">
      <c r="A34" s="10" t="s">
        <v>60</v>
      </c>
      <c r="B34" s="10" t="s">
        <v>165</v>
      </c>
      <c r="C34" s="10" t="s">
        <v>166</v>
      </c>
      <c r="D34" s="10" t="s">
        <v>142</v>
      </c>
      <c r="E34" s="12" t="s">
        <v>167</v>
      </c>
      <c r="F34" s="10" t="s">
        <v>94</v>
      </c>
      <c r="G34" s="10" t="s">
        <v>168</v>
      </c>
      <c r="H34" s="11">
        <v>0</v>
      </c>
      <c r="I34" s="11">
        <v>14014.79</v>
      </c>
      <c r="J34" s="6" t="s">
        <v>108</v>
      </c>
    </row>
    <row r="35" customFormat="1" ht="22.5" spans="1:10">
      <c r="A35" s="10" t="s">
        <v>60</v>
      </c>
      <c r="B35" s="10" t="s">
        <v>165</v>
      </c>
      <c r="C35" s="10" t="s">
        <v>166</v>
      </c>
      <c r="D35" s="10" t="s">
        <v>142</v>
      </c>
      <c r="E35" s="12" t="s">
        <v>169</v>
      </c>
      <c r="F35" s="10" t="s">
        <v>94</v>
      </c>
      <c r="G35" s="10" t="s">
        <v>168</v>
      </c>
      <c r="H35" s="11">
        <v>0</v>
      </c>
      <c r="I35" s="11">
        <v>33000</v>
      </c>
      <c r="J35" s="6" t="s">
        <v>108</v>
      </c>
    </row>
    <row r="36" customFormat="1" spans="1:10">
      <c r="A36" s="10" t="s">
        <v>60</v>
      </c>
      <c r="B36" s="10" t="s">
        <v>170</v>
      </c>
      <c r="C36" s="10" t="s">
        <v>154</v>
      </c>
      <c r="D36" s="10" t="s">
        <v>142</v>
      </c>
      <c r="E36" s="10" t="s">
        <v>171</v>
      </c>
      <c r="F36" s="10" t="s">
        <v>78</v>
      </c>
      <c r="G36" s="10" t="s">
        <v>118</v>
      </c>
      <c r="H36" s="11">
        <v>0</v>
      </c>
      <c r="I36" s="11">
        <v>13144.19</v>
      </c>
      <c r="J36" s="6" t="s">
        <v>102</v>
      </c>
    </row>
    <row r="37" customFormat="1" spans="1:10">
      <c r="A37" s="10" t="s">
        <v>170</v>
      </c>
      <c r="B37" s="10" t="s">
        <v>170</v>
      </c>
      <c r="C37" s="10" t="s">
        <v>154</v>
      </c>
      <c r="D37" s="10" t="s">
        <v>142</v>
      </c>
      <c r="E37" s="10" t="s">
        <v>171</v>
      </c>
      <c r="F37" s="10" t="s">
        <v>78</v>
      </c>
      <c r="G37" s="10" t="s">
        <v>118</v>
      </c>
      <c r="H37" s="11">
        <v>0</v>
      </c>
      <c r="I37" s="11">
        <v>26664.96</v>
      </c>
      <c r="J37" s="6" t="s">
        <v>102</v>
      </c>
    </row>
    <row r="38" customFormat="1" ht="22.5" spans="1:10">
      <c r="A38" s="10" t="s">
        <v>60</v>
      </c>
      <c r="B38" s="10" t="s">
        <v>60</v>
      </c>
      <c r="C38" s="10" t="s">
        <v>172</v>
      </c>
      <c r="D38" s="10" t="s">
        <v>142</v>
      </c>
      <c r="E38" s="12" t="s">
        <v>173</v>
      </c>
      <c r="F38" s="10" t="s">
        <v>83</v>
      </c>
      <c r="G38" s="10" t="s">
        <v>174</v>
      </c>
      <c r="H38" s="11">
        <v>216155.57</v>
      </c>
      <c r="I38" s="11">
        <v>0</v>
      </c>
      <c r="J38" s="6" t="s">
        <v>110</v>
      </c>
    </row>
    <row r="39" customFormat="1" ht="22.5" spans="1:10">
      <c r="A39" s="10" t="s">
        <v>60</v>
      </c>
      <c r="B39" s="10" t="s">
        <v>60</v>
      </c>
      <c r="C39" s="10" t="s">
        <v>175</v>
      </c>
      <c r="D39" s="10" t="s">
        <v>142</v>
      </c>
      <c r="E39" s="12" t="s">
        <v>176</v>
      </c>
      <c r="F39" s="10" t="s">
        <v>106</v>
      </c>
      <c r="G39" s="10" t="s">
        <v>177</v>
      </c>
      <c r="H39" s="11">
        <v>0</v>
      </c>
      <c r="I39" s="11">
        <v>179.67</v>
      </c>
      <c r="J39" s="6" t="s">
        <v>110</v>
      </c>
    </row>
    <row r="40" customFormat="1" spans="1:10">
      <c r="A40" s="10" t="s">
        <v>153</v>
      </c>
      <c r="B40" s="10" t="s">
        <v>153</v>
      </c>
      <c r="C40" s="10" t="s">
        <v>156</v>
      </c>
      <c r="D40" s="10" t="s">
        <v>142</v>
      </c>
      <c r="E40" s="10" t="s">
        <v>161</v>
      </c>
      <c r="F40" s="10" t="s">
        <v>106</v>
      </c>
      <c r="G40" s="10" t="s">
        <v>178</v>
      </c>
      <c r="H40" s="11">
        <v>0</v>
      </c>
      <c r="I40" s="11">
        <v>280</v>
      </c>
      <c r="J40" s="6" t="s">
        <v>119</v>
      </c>
    </row>
    <row r="41" ht="42" customHeight="1" spans="1:11">
      <c r="A41" s="13" t="s">
        <v>135</v>
      </c>
      <c r="B41" s="13" t="s">
        <v>135</v>
      </c>
      <c r="C41" s="6" t="s">
        <v>179</v>
      </c>
      <c r="D41" s="10" t="s">
        <v>76</v>
      </c>
      <c r="E41" s="14" t="s">
        <v>180</v>
      </c>
      <c r="F41" s="6"/>
      <c r="G41" s="13" t="s">
        <v>181</v>
      </c>
      <c r="H41" s="15"/>
      <c r="I41" s="15">
        <v>2600</v>
      </c>
      <c r="J41" s="6"/>
      <c r="K41" t="s">
        <v>182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workbookViewId="0">
      <selection activeCell="E22" sqref="E22"/>
    </sheetView>
  </sheetViews>
  <sheetFormatPr defaultColWidth="9" defaultRowHeight="13.5" outlineLevelRow="2"/>
  <cols>
    <col min="1" max="4" width="9" style="1"/>
    <col min="5" max="5" width="17.125" style="1" customWidth="1"/>
    <col min="6" max="7" width="9" style="1"/>
    <col min="8" max="8" width="12.375" style="1" customWidth="1"/>
  </cols>
  <sheetData>
    <row r="1" ht="40.5" spans="1:9">
      <c r="A1" s="2" t="s">
        <v>40</v>
      </c>
      <c r="B1" s="2" t="s">
        <v>183</v>
      </c>
      <c r="C1" s="3" t="s">
        <v>184</v>
      </c>
      <c r="D1" s="4" t="s">
        <v>185</v>
      </c>
      <c r="E1" s="4" t="s">
        <v>186</v>
      </c>
      <c r="F1" s="3" t="s">
        <v>187</v>
      </c>
      <c r="G1" s="3" t="s">
        <v>188</v>
      </c>
      <c r="H1" s="3" t="s">
        <v>189</v>
      </c>
      <c r="I1" s="6"/>
    </row>
    <row r="2" ht="24" customHeight="1" spans="1:9">
      <c r="A2" s="5">
        <v>1</v>
      </c>
      <c r="B2" s="5" t="s">
        <v>190</v>
      </c>
      <c r="C2" s="5" t="s">
        <v>191</v>
      </c>
      <c r="D2" s="5">
        <v>1248.91</v>
      </c>
      <c r="E2" s="5">
        <v>7010</v>
      </c>
      <c r="F2" s="5" t="s">
        <v>192</v>
      </c>
      <c r="G2" s="5">
        <f>D2+E2</f>
        <v>8258.91</v>
      </c>
      <c r="H2" s="5" t="s">
        <v>17</v>
      </c>
      <c r="I2" s="6" t="s">
        <v>193</v>
      </c>
    </row>
    <row r="3" ht="24" customHeight="1" spans="1:9">
      <c r="A3" s="5"/>
      <c r="B3" s="5"/>
      <c r="C3" s="5"/>
      <c r="D3" s="5"/>
      <c r="E3" s="5"/>
      <c r="F3" s="5"/>
      <c r="G3" s="5"/>
      <c r="H3" s="5"/>
      <c r="I3" s="6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2025.3-4结算</vt:lpstr>
      <vt:lpstr>回款统计</vt:lpstr>
      <vt:lpstr>3月4月日记账</vt:lpstr>
      <vt:lpstr>支援人员工资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中高后勤陶刘燕15887864674</cp:lastModifiedBy>
  <dcterms:created xsi:type="dcterms:W3CDTF">2025-04-27T02:06:00Z</dcterms:created>
  <dcterms:modified xsi:type="dcterms:W3CDTF">2025-07-03T00:59:02Z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C4E3645A58CF43FDA368505E145380F6_13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