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8结算" sheetId="1" r:id="rId1"/>
    <sheet name="8月回款" sheetId="20" r:id="rId2"/>
    <sheet name="8月日记账" sheetId="21" r:id="rId3"/>
    <sheet name="7月支援人员费用明细表" sheetId="22" r:id="rId4"/>
  </sheets>
  <definedNames>
    <definedName name="_xlnm._FilterDatabase" localSheetId="2" hidden="1">'8月日记账'!$A$1:$H$46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5" authorId="0">
      <text>
        <r>
          <rPr>
            <b/>
            <sz val="9"/>
            <rFont val="宋体"/>
            <charset val="134"/>
          </rPr>
          <t>Administrator:</t>
        </r>
        <r>
          <rPr>
            <sz val="9"/>
            <rFont val="宋体"/>
            <charset val="134"/>
          </rPr>
          <t xml:space="preserve">
服务费</t>
        </r>
      </text>
    </comment>
    <comment ref="G57" authorId="0">
      <text>
        <r>
          <rPr>
            <b/>
            <sz val="9"/>
            <rFont val="宋体"/>
            <charset val="134"/>
          </rPr>
          <t>Administrator:</t>
        </r>
        <r>
          <rPr>
            <sz val="9"/>
            <rFont val="宋体"/>
            <charset val="134"/>
          </rPr>
          <t xml:space="preserve">
买设备</t>
        </r>
      </text>
    </comment>
  </commentList>
</comments>
</file>

<file path=xl/sharedStrings.xml><?xml version="1.0" encoding="utf-8"?>
<sst xmlns="http://schemas.openxmlformats.org/spreadsheetml/2006/main" count="427" uniqueCount="184">
  <si>
    <t xml:space="preserve">新疆工程学院 </t>
  </si>
  <si>
    <t>收款周期</t>
  </si>
  <si>
    <t>云南中高收入（开票收款）</t>
  </si>
  <si>
    <t>实际收款</t>
  </si>
  <si>
    <t>云南上海公司支出费用统计</t>
  </si>
  <si>
    <t>管理费3%（云南中高收）</t>
  </si>
  <si>
    <t>云南中高向新疆公司支付金额</t>
  </si>
  <si>
    <t>新疆工程学院支付金额</t>
  </si>
  <si>
    <t>服务费金额</t>
  </si>
  <si>
    <t>附加税（云南中高缴纳）</t>
  </si>
  <si>
    <t>中高云南</t>
  </si>
  <si>
    <t>上海中高（建行）</t>
  </si>
  <si>
    <t>云南新疆分公司（招行）</t>
  </si>
  <si>
    <t>上海石河子分公司（招行）</t>
  </si>
  <si>
    <t>代垫支援人员工资+社保（未入新疆账）</t>
  </si>
  <si>
    <t>云南上海公司支出费用合计</t>
  </si>
  <si>
    <t>增值税差额</t>
  </si>
  <si>
    <t>新疆公司开具6%专票</t>
  </si>
  <si>
    <t>2025.8月</t>
  </si>
  <si>
    <t>合计</t>
  </si>
  <si>
    <t>昌吉学院项目</t>
  </si>
  <si>
    <t>上海中高收入（开票收款）</t>
  </si>
  <si>
    <t>昌吉学院支付金额</t>
  </si>
  <si>
    <t>增值税</t>
  </si>
  <si>
    <t>新疆大学绿化项目</t>
  </si>
  <si>
    <t>管理费3%（上海中高收）</t>
  </si>
  <si>
    <t>上海中高向新疆公司支付金额</t>
  </si>
  <si>
    <t>新疆大学支付金额</t>
  </si>
  <si>
    <t xml:space="preserve">石河子大学项目 </t>
  </si>
  <si>
    <t>管理费3%(上海中高收）</t>
  </si>
  <si>
    <t>石河子大学支付金额（以实际结算为准）</t>
  </si>
  <si>
    <t>云南新疆公司（招行）</t>
  </si>
  <si>
    <t>新疆师专 -安保项目</t>
  </si>
  <si>
    <t>新疆师专支付金额</t>
  </si>
  <si>
    <t>差额征收</t>
  </si>
  <si>
    <t>新疆公司开具5%差额发票</t>
  </si>
  <si>
    <t>新疆图书馆项目</t>
  </si>
  <si>
    <t>图书馆支付金额</t>
  </si>
  <si>
    <t>新疆总工会项目</t>
  </si>
  <si>
    <t>总工会支付金额</t>
  </si>
  <si>
    <t>8月合计</t>
  </si>
  <si>
    <t>按收入成本支出发生金额结算，2025年8月，合计收款2663574.94元，其中工程学院以服务费为收入结算，最终结算的收入为1938191.09元。云南上海公司支出成本合计879822.6元，8月需向新疆公司结算金额为1058368.49元。云南中标项目结算金额为负暂不开票；需向上海中高结算开票1058368.49元；</t>
  </si>
  <si>
    <t>结算收入合计：</t>
  </si>
  <si>
    <t>特殊说明：工程学院不以实际收款为结算，按服务费为收入结算；</t>
  </si>
  <si>
    <t>支出成本合计：</t>
  </si>
  <si>
    <t>八一中学本月未收到合同内物业费；家属区物业费和停车费收到新疆公司和个体户不需要和云南公司结算</t>
  </si>
  <si>
    <t>以下项目暂时统计，本次不结算</t>
  </si>
  <si>
    <t xml:space="preserve">八一中学 </t>
  </si>
  <si>
    <t>八一中学支付金额</t>
  </si>
  <si>
    <t>2025.5月</t>
  </si>
  <si>
    <t>收费台账（2025.8）</t>
  </si>
  <si>
    <t>序号</t>
  </si>
  <si>
    <t>收费项目</t>
  </si>
  <si>
    <t>实际收缴情况</t>
  </si>
  <si>
    <t>备注</t>
  </si>
  <si>
    <t>实收金额</t>
  </si>
  <si>
    <t>实收日期</t>
  </si>
  <si>
    <t>服务费</t>
  </si>
  <si>
    <t>新疆工程学院</t>
  </si>
  <si>
    <t>2025-08-08</t>
  </si>
  <si>
    <t>中高后勤服务（云南）有限公司</t>
  </si>
  <si>
    <t>2025-08-27</t>
  </si>
  <si>
    <t>2025-08-28</t>
  </si>
  <si>
    <t>2025-08-29</t>
  </si>
  <si>
    <t>石河子大学</t>
  </si>
  <si>
    <t>2025-08-11</t>
  </si>
  <si>
    <t>上海中高后勤服务（集团）有限公司</t>
  </si>
  <si>
    <t>2025-08-8</t>
  </si>
  <si>
    <t>图书馆</t>
  </si>
  <si>
    <t>2025-08-25</t>
  </si>
  <si>
    <t>新疆大学绿标</t>
  </si>
  <si>
    <t>2025-08-26</t>
  </si>
  <si>
    <t>新疆师专安保</t>
  </si>
  <si>
    <t>2025-08-12</t>
  </si>
  <si>
    <t>2025-08-14</t>
  </si>
  <si>
    <t>总工会</t>
  </si>
  <si>
    <t>2025-08-07</t>
  </si>
  <si>
    <t>业务日期</t>
  </si>
  <si>
    <t>摘要</t>
  </si>
  <si>
    <t>科目</t>
  </si>
  <si>
    <t>对方科目</t>
  </si>
  <si>
    <t>借方金额</t>
  </si>
  <si>
    <t>贷方金额</t>
  </si>
  <si>
    <t>2025-08-01</t>
  </si>
  <si>
    <t>支付墨相麟石河子大学业务招待费</t>
  </si>
  <si>
    <t>1002.01.01 物业交行世纪城支行（8810）</t>
  </si>
  <si>
    <t>6602.13 管理费用 - 业务招待费/077 - 石河子大学</t>
  </si>
  <si>
    <t>石河子项目</t>
  </si>
  <si>
    <t>新疆维吾尔自治区总工会机关服务中心付中高公司2025年7月份驾驶员工资及社保等款</t>
  </si>
  <si>
    <t>1002.01.05 上海中高建行上海临平路支行（2260）</t>
  </si>
  <si>
    <t>6001.12 主营业务收入 - 服务费收入/102 - 新疆维吾尔自治区总工会办公室</t>
  </si>
  <si>
    <t>新疆工程学院孙良戈报劳务派遣费</t>
  </si>
  <si>
    <t>6001.12 主营业务收入 - 劳务派遣服务费收入/075 - 新疆工程学院</t>
  </si>
  <si>
    <t>石河子大学后勤处姚芳发上海中高7月物业费</t>
  </si>
  <si>
    <t>6001.03.01 主营业务收入 - 服务费收入 - 物业服务费收入/077 - 石河子大学</t>
  </si>
  <si>
    <t>石河子大学物业费收入</t>
  </si>
  <si>
    <t>新疆维吾尔自治区总工会办公室收入</t>
  </si>
  <si>
    <t>新疆教育学院劳动服务公司7月安保费</t>
  </si>
  <si>
    <t>6001.10 主营业务收入 - 服务费收入/093 - 新疆师范专科高等学院</t>
  </si>
  <si>
    <t>新疆师范高等专科学校安保费安保费</t>
  </si>
  <si>
    <t>新疆维吾尔自治区图书馆物业费</t>
  </si>
  <si>
    <t>6001.03.01 主营业务收入 - 服务费收入 - 物业服务费收入/097 - 新疆维吾尔自治区图书馆</t>
  </si>
  <si>
    <t>陈建霞云大项目7月零星费用开支</t>
  </si>
  <si>
    <t>6602.01 管理费用 - 交通费/094 - 新疆大学绿化项目</t>
  </si>
  <si>
    <t>新大绿化项目</t>
  </si>
  <si>
    <t>6401.03.03 主营业务成本 - 人工成本 - 员工福利/094 - 新疆大学绿化项目</t>
  </si>
  <si>
    <t>新疆大学物业费</t>
  </si>
  <si>
    <t>6001.03.01 主营业务收入 - 服务费收入 - 物业服务费收入/076 - 新疆大学</t>
  </si>
  <si>
    <t>新疆工程学院天山实验室劳务派遣</t>
  </si>
  <si>
    <t>新疆工程学院侯德花劳务派遣费</t>
  </si>
  <si>
    <t>新疆工程学院陈翠鸽报劳务派遣费</t>
  </si>
  <si>
    <t>新疆工程学院李依凡报劳务派遣费</t>
  </si>
  <si>
    <t>2025-08-09</t>
  </si>
  <si>
    <t>支付雇主责任险</t>
  </si>
  <si>
    <t>1002.02 云南新疆分公司招行991907864510001</t>
  </si>
  <si>
    <t>6401.03.10 主营业务成本 - 人工成本 - 雇主责任险/010 - 新疆工程学院</t>
  </si>
  <si>
    <t>工程学院</t>
  </si>
  <si>
    <t>2025-08-16</t>
  </si>
  <si>
    <t>昌吉学院7月劳务费</t>
  </si>
  <si>
    <t>6401.03.01 主营业务成本 - 人工成本 - 人员工资/002 - 昌吉学院</t>
  </si>
  <si>
    <t>昌吉学院</t>
  </si>
  <si>
    <t>志云7月服务费</t>
  </si>
  <si>
    <t>6602.27 管理费用 - 咨询服务费/001 - 昌吉学院</t>
  </si>
  <si>
    <t>发放7月工资</t>
  </si>
  <si>
    <t>1002.03 上海石河子分公司招行993900603210001</t>
  </si>
  <si>
    <t>6401.03.01 主营业务成本 - 人工成本 - 人员工资/007 - 新疆师范专科-安保</t>
  </si>
  <si>
    <t>师专安保</t>
  </si>
  <si>
    <t>2025-08-22</t>
  </si>
  <si>
    <t>6401.03.01 主营业务成本 - 人工成本 - 人员工资/005 - 石河子大学</t>
  </si>
  <si>
    <t>6401.03.01 主营业务成本 - 人工成本 - 人员工资/004 - 新疆大学--保洁</t>
  </si>
  <si>
    <t>新大保洁</t>
  </si>
  <si>
    <t>缴纳8月社保</t>
  </si>
  <si>
    <t>6401.03.07 主营业务成本 - 人工成本 - 社会保险/005 - 石河子大学</t>
  </si>
  <si>
    <t>6401.03.07 主营业务成本 - 人工成本 - 社会保险/004 - 新疆大学--保洁</t>
  </si>
  <si>
    <t>缴纳8月公积金</t>
  </si>
  <si>
    <t>6401.03.11 主营业务成本 - 人工成本 - 住房公积金/005 - 石河子大学</t>
  </si>
  <si>
    <t>退回刘艳玲多发工资</t>
  </si>
  <si>
    <t>收入合计</t>
  </si>
  <si>
    <t>金额</t>
  </si>
  <si>
    <t>垫付合计</t>
  </si>
  <si>
    <t>工程学院（云南新疆分公司）</t>
  </si>
  <si>
    <t>工程学院结算</t>
  </si>
  <si>
    <t>新疆大学绿化</t>
  </si>
  <si>
    <t>昌吉学院（新疆分公司）</t>
  </si>
  <si>
    <t>昌吉学院结算</t>
  </si>
  <si>
    <t>石河子（石河子分公司）</t>
  </si>
  <si>
    <t>石河子项目结算</t>
  </si>
  <si>
    <t>石河子（云南）</t>
  </si>
  <si>
    <t>新大保洁（石河子分公司）</t>
  </si>
  <si>
    <t>新大绿化（云南公司）</t>
  </si>
  <si>
    <t>新大绿化结算</t>
  </si>
  <si>
    <t>师专安保（石河子分公司）</t>
  </si>
  <si>
    <t>师专安保结算</t>
  </si>
  <si>
    <t>项目名称</t>
  </si>
  <si>
    <t>支援人员</t>
  </si>
  <si>
    <t>社保公积金</t>
  </si>
  <si>
    <t>实发工资</t>
  </si>
  <si>
    <t>结算项目</t>
  </si>
  <si>
    <t>合计费用</t>
  </si>
  <si>
    <t>支出时间</t>
  </si>
  <si>
    <t>支援项目</t>
  </si>
  <si>
    <t>云艺</t>
  </si>
  <si>
    <t>李玉琼</t>
  </si>
  <si>
    <t>新疆救助站出勤31个班</t>
  </si>
  <si>
    <t>昆医</t>
  </si>
  <si>
    <t>蔡兴勇</t>
  </si>
  <si>
    <t>新疆绿化标段（16）个班</t>
  </si>
  <si>
    <t>冶专安宁</t>
  </si>
  <si>
    <t>舒勇琴</t>
  </si>
  <si>
    <t>石河子</t>
  </si>
  <si>
    <t>石河子大学出勤13个班</t>
  </si>
  <si>
    <t>体院</t>
  </si>
  <si>
    <t>沈国良</t>
  </si>
  <si>
    <t>新疆总工会支援31个班</t>
  </si>
  <si>
    <t>作为见习人员，工资在云南发</t>
  </si>
  <si>
    <t>昆明学院一期</t>
  </si>
  <si>
    <t>杨建永</t>
  </si>
  <si>
    <t>新疆图书馆支援31个班</t>
  </si>
  <si>
    <t>总部</t>
  </si>
  <si>
    <t>高树华</t>
  </si>
  <si>
    <t>放在石河子项目结算</t>
  </si>
  <si>
    <t>新疆总部出勤7个班</t>
  </si>
  <si>
    <t>张石平</t>
  </si>
  <si>
    <t>新疆支援31个班（1-31日）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</si>
</sst>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00_ "/>
    <numFmt numFmtId="178" formatCode="yyyy/m/d;@"/>
    <numFmt numFmtId="179" formatCode="0.00_);[Red]\(0.00\)"/>
  </numFmts>
  <fonts count="33">
    <font>
      <sz val="11"/>
      <color theme="1"/>
      <name val="宋体"/>
      <charset val="134"/>
      <scheme val="minor"/>
    </font>
    <font>
      <sz val="9"/>
      <color theme="1"/>
      <name val="宋体"/>
      <charset val="134"/>
      <scheme val="minor"/>
    </font>
    <font>
      <b/>
      <sz val="9"/>
      <color theme="1"/>
      <name val="宋体"/>
      <charset val="134"/>
      <scheme val="minor"/>
    </font>
    <font>
      <b/>
      <sz val="14"/>
      <name val="宋体"/>
      <charset val="134"/>
    </font>
    <font>
      <b/>
      <sz val="11"/>
      <name val="宋体"/>
      <charset val="134"/>
    </font>
    <font>
      <b/>
      <sz val="10"/>
      <name val="宋体"/>
      <charset val="134"/>
    </font>
    <font>
      <sz val="11"/>
      <name val="宋体"/>
      <charset val="134"/>
      <scheme val="minor"/>
    </font>
    <font>
      <sz val="12"/>
      <name val="宋体"/>
      <charset val="134"/>
    </font>
    <font>
      <sz val="12"/>
      <color theme="1"/>
      <name val="宋体"/>
      <charset val="134"/>
      <scheme val="minor"/>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b/>
      <sz val="9"/>
      <name val="宋体"/>
      <charset val="134"/>
    </font>
  </fonts>
  <fills count="41">
    <fill>
      <patternFill patternType="none"/>
    </fill>
    <fill>
      <patternFill patternType="gray125"/>
    </fill>
    <fill>
      <patternFill patternType="solid">
        <fgColor theme="8" tint="0.8"/>
        <bgColor indexed="64"/>
      </patternFill>
    </fill>
    <fill>
      <patternFill patternType="solid">
        <fgColor theme="9" tint="0.8"/>
        <bgColor indexed="64"/>
      </patternFill>
    </fill>
    <fill>
      <patternFill patternType="solid">
        <fgColor rgb="FFFFFF00"/>
        <bgColor indexed="64"/>
      </patternFill>
    </fill>
    <fill>
      <patternFill patternType="solid">
        <fgColor theme="9" tint="0.599993896298105"/>
        <bgColor indexed="64"/>
      </patternFill>
    </fill>
    <fill>
      <patternFill patternType="solid">
        <fgColor theme="0"/>
        <bgColor indexed="64"/>
      </patternFill>
    </fill>
    <fill>
      <patternFill patternType="solid">
        <fgColor rgb="FF92D050"/>
        <bgColor indexed="64"/>
      </patternFill>
    </fill>
    <fill>
      <patternFill patternType="solid">
        <fgColor theme="5" tint="0.4"/>
        <bgColor indexed="64"/>
      </patternFill>
    </fill>
    <fill>
      <patternFill patternType="solid">
        <fgColor theme="9" tint="0.4"/>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11"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12" borderId="17" applyNumberFormat="0" applyAlignment="0" applyProtection="0">
      <alignment vertical="center"/>
    </xf>
    <xf numFmtId="0" fontId="20" fillId="13" borderId="18" applyNumberFormat="0" applyAlignment="0" applyProtection="0">
      <alignment vertical="center"/>
    </xf>
    <xf numFmtId="0" fontId="21" fillId="13" borderId="17" applyNumberFormat="0" applyAlignment="0" applyProtection="0">
      <alignment vertical="center"/>
    </xf>
    <xf numFmtId="0" fontId="22" fillId="14"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8" fillId="37" borderId="0" applyNumberFormat="0" applyBorder="0" applyAlignment="0" applyProtection="0">
      <alignment vertical="center"/>
    </xf>
    <xf numFmtId="0" fontId="28" fillId="38" borderId="0" applyNumberFormat="0" applyBorder="0" applyAlignment="0" applyProtection="0">
      <alignment vertical="center"/>
    </xf>
    <xf numFmtId="0" fontId="29" fillId="39" borderId="0" applyNumberFormat="0" applyBorder="0" applyAlignment="0" applyProtection="0">
      <alignment vertical="center"/>
    </xf>
    <xf numFmtId="0" fontId="29" fillId="5" borderId="0" applyNumberFormat="0" applyBorder="0" applyAlignment="0" applyProtection="0">
      <alignment vertical="center"/>
    </xf>
    <xf numFmtId="0" fontId="28" fillId="40" borderId="0" applyNumberFormat="0" applyBorder="0" applyAlignment="0" applyProtection="0">
      <alignment vertical="center"/>
    </xf>
    <xf numFmtId="0" fontId="30" fillId="0" borderId="0">
      <alignment vertical="center"/>
    </xf>
  </cellStyleXfs>
  <cellXfs count="113">
    <xf numFmtId="0" fontId="0" fillId="0" borderId="0" xfId="0">
      <alignment vertical="center"/>
    </xf>
    <xf numFmtId="0" fontId="0" fillId="0" borderId="0" xfId="0" applyFill="1">
      <alignment vertical="center"/>
    </xf>
    <xf numFmtId="0" fontId="0" fillId="0" borderId="0" xfId="0" applyAlignment="1">
      <alignment horizontal="center" vertical="center"/>
    </xf>
    <xf numFmtId="43" fontId="0" fillId="0" borderId="0" xfId="0" applyNumberFormat="1" applyAlignment="1">
      <alignment horizontal="center" vertical="center"/>
    </xf>
    <xf numFmtId="43" fontId="0" fillId="2" borderId="0" xfId="0" applyNumberFormat="1" applyFill="1" applyAlignment="1">
      <alignment horizontal="center" vertical="center"/>
    </xf>
    <xf numFmtId="0" fontId="1" fillId="2" borderId="0" xfId="0" applyFont="1" applyFill="1" applyBorder="1" applyAlignment="1">
      <alignment horizontal="left" vertical="center"/>
    </xf>
    <xf numFmtId="43" fontId="0" fillId="3" borderId="0" xfId="0" applyNumberFormat="1" applyFill="1">
      <alignment vertical="center"/>
    </xf>
    <xf numFmtId="0" fontId="0" fillId="4" borderId="1" xfId="0" applyFill="1" applyBorder="1" applyAlignment="1">
      <alignment horizontal="center" vertical="center"/>
    </xf>
    <xf numFmtId="43" fontId="0" fillId="4" borderId="1" xfId="0" applyNumberFormat="1" applyFill="1" applyBorder="1" applyAlignment="1">
      <alignment horizontal="center" vertical="center"/>
    </xf>
    <xf numFmtId="43" fontId="0" fillId="4" borderId="1" xfId="0" applyNumberForma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43" fontId="0" fillId="0" borderId="1" xfId="0" applyNumberFormat="1" applyBorder="1" applyAlignment="1">
      <alignment horizontal="center" vertical="center"/>
    </xf>
    <xf numFmtId="176" fontId="0" fillId="2" borderId="1" xfId="0" applyNumberFormat="1" applyFill="1" applyBorder="1" applyAlignment="1">
      <alignment horizontal="center" vertical="center"/>
    </xf>
    <xf numFmtId="0" fontId="0" fillId="0" borderId="1"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43" fontId="0" fillId="0" borderId="0" xfId="0" applyNumberFormat="1" applyBorder="1" applyAlignment="1">
      <alignment horizontal="center" vertical="center"/>
    </xf>
    <xf numFmtId="176" fontId="0" fillId="2" borderId="0" xfId="0" applyNumberFormat="1" applyFill="1" applyBorder="1" applyAlignment="1">
      <alignment horizontal="center" vertical="center"/>
    </xf>
    <xf numFmtId="0" fontId="0" fillId="0" borderId="1" xfId="0" applyFill="1" applyBorder="1" applyAlignment="1">
      <alignment horizontal="center" vertical="center"/>
    </xf>
    <xf numFmtId="43" fontId="0" fillId="0" borderId="1" xfId="0" applyNumberFormat="1" applyFill="1" applyBorder="1" applyAlignment="1">
      <alignment horizontal="center" vertical="center"/>
    </xf>
    <xf numFmtId="43" fontId="0" fillId="0" borderId="1" xfId="0" applyNumberFormat="1" applyFill="1" applyBorder="1" applyAlignment="1">
      <alignment horizontal="center" vertical="center" wrapText="1"/>
    </xf>
    <xf numFmtId="43" fontId="0" fillId="0" borderId="1" xfId="0" applyNumberFormat="1" applyBorder="1" applyAlignment="1">
      <alignment horizontal="center" vertical="center" wrapText="1"/>
    </xf>
    <xf numFmtId="0" fontId="1" fillId="2" borderId="0" xfId="0" applyFont="1" applyFill="1" applyBorder="1" applyAlignment="1">
      <alignment horizontal="center" vertical="center"/>
    </xf>
    <xf numFmtId="43" fontId="0" fillId="3" borderId="0" xfId="0" applyNumberFormat="1" applyFill="1" applyAlignment="1">
      <alignment horizontal="center" vertical="center"/>
    </xf>
    <xf numFmtId="43" fontId="0" fillId="2" borderId="1" xfId="0" applyNumberFormat="1" applyFill="1" applyBorder="1" applyAlignment="1">
      <alignment horizontal="center" vertical="center"/>
    </xf>
    <xf numFmtId="43" fontId="1" fillId="2" borderId="0" xfId="0" applyNumberFormat="1" applyFont="1" applyFill="1" applyAlignment="1">
      <alignment horizontal="center" vertical="center" wrapText="1"/>
    </xf>
    <xf numFmtId="43" fontId="0" fillId="0" borderId="0" xfId="0" applyNumberFormat="1" applyFill="1" applyAlignment="1">
      <alignment horizontal="center" vertical="center"/>
    </xf>
    <xf numFmtId="0" fontId="1" fillId="0" borderId="0" xfId="0" applyFont="1" applyFill="1" applyBorder="1" applyAlignment="1">
      <alignment horizontal="left" vertical="center"/>
    </xf>
    <xf numFmtId="43" fontId="0" fillId="0" borderId="0" xfId="0" applyNumberFormat="1" applyFill="1">
      <alignment vertical="center"/>
    </xf>
    <xf numFmtId="43" fontId="0" fillId="2" borderId="1" xfId="0" applyNumberFormat="1" applyFill="1" applyBorder="1" applyAlignment="1">
      <alignment horizontal="center" vertical="center" wrapText="1"/>
    </xf>
    <xf numFmtId="0" fontId="0" fillId="0" borderId="0" xfId="0" applyFont="1" applyFill="1" applyAlignment="1">
      <alignment horizontal="left"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ont="1" applyFill="1" applyAlignment="1">
      <alignment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left" vertical="center"/>
    </xf>
    <xf numFmtId="49"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lignment vertical="center"/>
    </xf>
    <xf numFmtId="0" fontId="0" fillId="0" borderId="0" xfId="0" applyFont="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177" fontId="5"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xf>
    <xf numFmtId="178" fontId="4" fillId="5" borderId="1" xfId="0" applyNumberFormat="1" applyFont="1" applyFill="1" applyBorder="1" applyAlignment="1">
      <alignment horizontal="center" vertical="center"/>
    </xf>
    <xf numFmtId="179" fontId="4" fillId="5" borderId="1" xfId="0" applyNumberFormat="1" applyFont="1" applyFill="1" applyBorder="1" applyAlignment="1">
      <alignment horizontal="center" vertical="center" wrapText="1"/>
    </xf>
    <xf numFmtId="178" fontId="4" fillId="5"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5"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Font="1" applyBorder="1" applyAlignment="1">
      <alignment horizontal="center" vertical="center"/>
    </xf>
    <xf numFmtId="0" fontId="8" fillId="0" borderId="0" xfId="0" applyFont="1" applyFill="1" applyAlignment="1">
      <alignment horizontal="center" vertical="center"/>
    </xf>
    <xf numFmtId="177" fontId="8" fillId="0" borderId="0" xfId="0" applyNumberFormat="1" applyFont="1" applyAlignment="1">
      <alignment horizontal="center" vertical="center"/>
    </xf>
    <xf numFmtId="177" fontId="8" fillId="0" borderId="0" xfId="0" applyNumberFormat="1" applyFont="1" applyAlignment="1">
      <alignment horizontal="center" vertical="center" wrapText="1"/>
    </xf>
    <xf numFmtId="177" fontId="8" fillId="0" borderId="0" xfId="0" applyNumberFormat="1" applyFont="1" applyFill="1" applyAlignment="1">
      <alignment horizontal="center" vertical="center"/>
    </xf>
    <xf numFmtId="0" fontId="8" fillId="0" borderId="0" xfId="0" applyFont="1" applyAlignment="1">
      <alignment horizontal="center" vertical="center"/>
    </xf>
    <xf numFmtId="177" fontId="8" fillId="6" borderId="0" xfId="0" applyNumberFormat="1" applyFont="1" applyFill="1" applyAlignment="1">
      <alignment horizontal="center" vertical="center"/>
    </xf>
    <xf numFmtId="177" fontId="9" fillId="7" borderId="1" xfId="0" applyNumberFormat="1" applyFont="1" applyFill="1" applyBorder="1" applyAlignment="1">
      <alignment horizontal="center" vertical="center"/>
    </xf>
    <xf numFmtId="177" fontId="8" fillId="7" borderId="2" xfId="0" applyNumberFormat="1" applyFont="1" applyFill="1" applyBorder="1" applyAlignment="1">
      <alignment horizontal="center" vertical="center" wrapText="1"/>
    </xf>
    <xf numFmtId="177" fontId="8" fillId="7" borderId="1" xfId="0" applyNumberFormat="1" applyFont="1" applyFill="1" applyBorder="1" applyAlignment="1">
      <alignment horizontal="center" vertical="center" wrapText="1"/>
    </xf>
    <xf numFmtId="177" fontId="8" fillId="7" borderId="6" xfId="0" applyNumberFormat="1" applyFont="1" applyFill="1" applyBorder="1" applyAlignment="1">
      <alignment horizontal="center" vertical="center" wrapText="1"/>
    </xf>
    <xf numFmtId="177" fontId="8" fillId="7" borderId="7" xfId="0" applyNumberFormat="1" applyFont="1" applyFill="1" applyBorder="1" applyAlignment="1">
      <alignment horizontal="center" vertical="center" wrapText="1"/>
    </xf>
    <xf numFmtId="177" fontId="8" fillId="7" borderId="4" xfId="0" applyNumberFormat="1" applyFont="1" applyFill="1" applyBorder="1" applyAlignment="1">
      <alignment horizontal="center" vertical="center"/>
    </xf>
    <xf numFmtId="177" fontId="8" fillId="7" borderId="4"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xf>
    <xf numFmtId="177" fontId="10" fillId="0" borderId="1" xfId="0" applyNumberFormat="1" applyFont="1" applyBorder="1" applyAlignment="1">
      <alignment horizontal="center" vertical="center"/>
    </xf>
    <xf numFmtId="177" fontId="8" fillId="6" borderId="8" xfId="0" applyNumberFormat="1" applyFont="1" applyFill="1" applyBorder="1" applyAlignment="1">
      <alignment horizontal="center" vertical="center" wrapText="1"/>
    </xf>
    <xf numFmtId="177" fontId="9" fillId="0" borderId="1" xfId="0" applyNumberFormat="1" applyFont="1" applyBorder="1" applyAlignment="1">
      <alignment horizontal="center" vertical="center"/>
    </xf>
    <xf numFmtId="177" fontId="8" fillId="0" borderId="9" xfId="0" applyNumberFormat="1" applyFont="1" applyBorder="1" applyAlignment="1">
      <alignment horizontal="center" vertical="center"/>
    </xf>
    <xf numFmtId="177" fontId="8" fillId="7" borderId="1" xfId="0" applyNumberFormat="1" applyFont="1" applyFill="1" applyBorder="1" applyAlignment="1">
      <alignment horizontal="center" vertical="center"/>
    </xf>
    <xf numFmtId="177" fontId="8" fillId="0" borderId="9" xfId="0" applyNumberFormat="1" applyFont="1" applyBorder="1" applyAlignment="1">
      <alignment vertical="center"/>
    </xf>
    <xf numFmtId="177" fontId="8" fillId="7" borderId="9" xfId="0" applyNumberFormat="1" applyFont="1" applyFill="1" applyBorder="1" applyAlignment="1">
      <alignment horizontal="center" vertical="center" wrapText="1"/>
    </xf>
    <xf numFmtId="177" fontId="8" fillId="7" borderId="10" xfId="0" applyNumberFormat="1" applyFont="1" applyFill="1" applyBorder="1" applyAlignment="1">
      <alignment horizontal="center" vertical="center" wrapText="1"/>
    </xf>
    <xf numFmtId="177" fontId="8" fillId="6" borderId="1" xfId="0" applyNumberFormat="1" applyFont="1" applyFill="1" applyBorder="1" applyAlignment="1">
      <alignment horizontal="center" vertical="center"/>
    </xf>
    <xf numFmtId="177" fontId="8" fillId="0" borderId="1" xfId="0" applyNumberFormat="1" applyFont="1" applyBorder="1" applyAlignment="1">
      <alignment vertical="center"/>
    </xf>
    <xf numFmtId="177" fontId="8" fillId="6" borderId="4" xfId="0" applyNumberFormat="1" applyFont="1" applyFill="1" applyBorder="1" applyAlignment="1">
      <alignment horizontal="center" vertical="center"/>
    </xf>
    <xf numFmtId="177" fontId="9" fillId="6" borderId="1" xfId="0" applyNumberFormat="1" applyFont="1" applyFill="1" applyBorder="1" applyAlignment="1">
      <alignment horizontal="center" vertical="center"/>
    </xf>
    <xf numFmtId="0" fontId="0" fillId="0" borderId="0" xfId="0" applyAlignment="1">
      <alignment horizontal="center" vertical="center"/>
    </xf>
    <xf numFmtId="0" fontId="8" fillId="0" borderId="1" xfId="0" applyFont="1" applyBorder="1" applyAlignment="1">
      <alignment horizontal="center" vertical="center"/>
    </xf>
    <xf numFmtId="177" fontId="10" fillId="8" borderId="0" xfId="0" applyNumberFormat="1" applyFont="1" applyFill="1" applyAlignment="1">
      <alignment horizontal="center" vertical="center"/>
    </xf>
    <xf numFmtId="0" fontId="8" fillId="0" borderId="0" xfId="0" applyFont="1" applyAlignment="1">
      <alignment horizontal="left" vertical="center" wrapText="1"/>
    </xf>
    <xf numFmtId="177" fontId="8" fillId="9" borderId="0" xfId="0" applyNumberFormat="1" applyFont="1" applyFill="1" applyAlignment="1">
      <alignment horizontal="center" vertical="center"/>
    </xf>
    <xf numFmtId="177" fontId="8" fillId="10" borderId="0" xfId="0" applyNumberFormat="1" applyFont="1" applyFill="1" applyAlignment="1">
      <alignment horizontal="center" vertical="center"/>
    </xf>
    <xf numFmtId="177" fontId="8" fillId="0" borderId="10" xfId="0" applyNumberFormat="1" applyFont="1" applyBorder="1" applyAlignment="1">
      <alignment horizontal="center" vertical="center"/>
    </xf>
    <xf numFmtId="177" fontId="8" fillId="6" borderId="0" xfId="0" applyNumberFormat="1" applyFont="1" applyFill="1" applyAlignment="1">
      <alignment horizontal="center" vertical="center" wrapText="1"/>
    </xf>
    <xf numFmtId="177" fontId="8" fillId="7" borderId="11" xfId="0" applyNumberFormat="1" applyFont="1" applyFill="1" applyBorder="1" applyAlignment="1">
      <alignment horizontal="center" vertical="center" wrapText="1"/>
    </xf>
    <xf numFmtId="177" fontId="8" fillId="7" borderId="0" xfId="0" applyNumberFormat="1" applyFont="1" applyFill="1" applyAlignment="1">
      <alignment horizontal="center" vertical="center"/>
    </xf>
    <xf numFmtId="177" fontId="8" fillId="7" borderId="12"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7" borderId="13" xfId="0" applyNumberFormat="1" applyFont="1" applyFill="1" applyBorder="1" applyAlignment="1">
      <alignment horizontal="center" vertical="center" wrapText="1"/>
    </xf>
    <xf numFmtId="177" fontId="8" fillId="0" borderId="4" xfId="0" applyNumberFormat="1" applyFont="1" applyFill="1" applyBorder="1" applyAlignment="1">
      <alignment horizontal="center" vertical="center"/>
    </xf>
    <xf numFmtId="177" fontId="8" fillId="6"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177" fontId="0" fillId="0" borderId="0" xfId="0" applyNumberFormat="1" applyFill="1">
      <alignment vertical="center"/>
    </xf>
    <xf numFmtId="177" fontId="8" fillId="0" borderId="1" xfId="0" applyNumberFormat="1"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4"/>
  <sheetViews>
    <sheetView tabSelected="1" zoomScale="90" zoomScaleNormal="90" topLeftCell="A31" workbookViewId="0">
      <selection activeCell="H59" sqref="H59"/>
    </sheetView>
  </sheetViews>
  <sheetFormatPr defaultColWidth="9" defaultRowHeight="14.25"/>
  <cols>
    <col min="1" max="1" width="19.3333333333333" style="70" customWidth="1"/>
    <col min="2" max="2" width="14.4416666666667" style="70" customWidth="1"/>
    <col min="3" max="3" width="11.9416666666667" style="70" customWidth="1"/>
    <col min="4" max="4" width="13.2" style="70" customWidth="1"/>
    <col min="5" max="5" width="9.575" style="70" customWidth="1"/>
    <col min="6" max="6" width="14.3333333333333" style="70" customWidth="1"/>
    <col min="7" max="7" width="12.3333333333333" style="70" customWidth="1"/>
    <col min="8" max="8" width="13.4416666666667" style="70" customWidth="1"/>
    <col min="9" max="9" width="16.5583333333333" style="71" customWidth="1"/>
    <col min="10" max="10" width="23.6666666666667" style="70" customWidth="1"/>
    <col min="11" max="11" width="19.8833333333333" style="70" customWidth="1"/>
    <col min="12" max="12" width="14.2166666666667" style="70" customWidth="1"/>
    <col min="13" max="13" width="21.4416666666667" style="70" customWidth="1"/>
    <col min="14" max="14" width="22.2166666666667" style="70" customWidth="1"/>
    <col min="15" max="15" width="12.6333333333333" style="72" customWidth="1"/>
    <col min="16" max="16384" width="9" style="73"/>
  </cols>
  <sheetData>
    <row r="1" spans="1:14">
      <c r="A1" s="74"/>
      <c r="B1" s="74"/>
      <c r="C1" s="74"/>
      <c r="D1" s="74"/>
      <c r="E1" s="74"/>
      <c r="F1" s="74"/>
      <c r="G1" s="74"/>
      <c r="H1" s="74"/>
      <c r="I1" s="102"/>
      <c r="J1" s="74"/>
      <c r="K1" s="74"/>
      <c r="L1" s="74"/>
      <c r="M1" s="74"/>
      <c r="N1" s="74"/>
    </row>
    <row r="2" ht="19.05" customHeight="1" spans="1:14">
      <c r="A2" s="75" t="s">
        <v>0</v>
      </c>
      <c r="B2" s="75"/>
      <c r="C2" s="75"/>
      <c r="D2" s="75"/>
      <c r="E2" s="75"/>
      <c r="F2" s="75"/>
      <c r="G2" s="75"/>
      <c r="H2" s="75"/>
      <c r="I2" s="75"/>
      <c r="J2" s="75"/>
      <c r="K2" s="75"/>
      <c r="L2" s="75"/>
      <c r="M2" s="75"/>
      <c r="N2" s="75"/>
    </row>
    <row r="3" ht="31.2" customHeight="1" spans="1:14">
      <c r="A3" s="76" t="s">
        <v>1</v>
      </c>
      <c r="B3" s="77" t="s">
        <v>2</v>
      </c>
      <c r="C3" s="76" t="s">
        <v>3</v>
      </c>
      <c r="D3" s="77"/>
      <c r="E3" s="78" t="s">
        <v>4</v>
      </c>
      <c r="F3" s="79"/>
      <c r="G3" s="79"/>
      <c r="H3" s="79"/>
      <c r="I3" s="79"/>
      <c r="J3" s="79"/>
      <c r="K3" s="103"/>
      <c r="L3" s="104"/>
      <c r="M3" s="76" t="s">
        <v>5</v>
      </c>
      <c r="N3" s="77" t="s">
        <v>6</v>
      </c>
    </row>
    <row r="4" ht="42.75" spans="1:14">
      <c r="A4" s="80"/>
      <c r="B4" s="77" t="s">
        <v>7</v>
      </c>
      <c r="C4" s="81"/>
      <c r="D4" s="81" t="s">
        <v>8</v>
      </c>
      <c r="E4" s="77" t="s">
        <v>9</v>
      </c>
      <c r="F4" s="77" t="s">
        <v>10</v>
      </c>
      <c r="G4" s="77" t="s">
        <v>11</v>
      </c>
      <c r="H4" s="77" t="s">
        <v>12</v>
      </c>
      <c r="I4" s="77" t="s">
        <v>13</v>
      </c>
      <c r="J4" s="77" t="s">
        <v>14</v>
      </c>
      <c r="K4" s="105" t="s">
        <v>15</v>
      </c>
      <c r="L4" s="104" t="s">
        <v>16</v>
      </c>
      <c r="M4" s="81"/>
      <c r="N4" s="87" t="s">
        <v>17</v>
      </c>
    </row>
    <row r="5" ht="25" customHeight="1" spans="1:14">
      <c r="A5" s="82" t="s">
        <v>18</v>
      </c>
      <c r="B5" s="82">
        <f>'8月日记账'!B39</f>
        <v>740873.85</v>
      </c>
      <c r="C5" s="82">
        <f>B5</f>
        <v>740873.85</v>
      </c>
      <c r="D5" s="83">
        <v>15490</v>
      </c>
      <c r="E5" s="84">
        <f>D5/1.05*0.05*0.12/2</f>
        <v>44.2571428571429</v>
      </c>
      <c r="F5" s="82"/>
      <c r="G5" s="82"/>
      <c r="H5" s="82">
        <f>'8月日记账'!E39</f>
        <v>23660</v>
      </c>
      <c r="I5" s="106"/>
      <c r="J5" s="82"/>
      <c r="K5" s="82">
        <f>E5+F5+G5+H5+I5+J5</f>
        <v>23704.2571428571</v>
      </c>
      <c r="L5" s="82">
        <f>K5/1.06*0.06</f>
        <v>1341.75040431267</v>
      </c>
      <c r="M5" s="82">
        <f>D5*0.03</f>
        <v>464.7</v>
      </c>
      <c r="N5" s="91">
        <f>D5-K5-L5-M5</f>
        <v>-10020.7075471698</v>
      </c>
    </row>
    <row r="6" ht="25" customHeight="1" spans="1:15">
      <c r="A6" s="85" t="s">
        <v>19</v>
      </c>
      <c r="B6" s="82">
        <f>SUM(B5:B5)</f>
        <v>740873.85</v>
      </c>
      <c r="C6" s="82">
        <f>SUM(C5:C5)</f>
        <v>740873.85</v>
      </c>
      <c r="D6" s="82">
        <f>SUM(D5:D5)</f>
        <v>15490</v>
      </c>
      <c r="E6" s="86">
        <f>SUM(E5:E5)</f>
        <v>44.2571428571429</v>
      </c>
      <c r="F6" s="82">
        <f t="shared" ref="F6:N6" si="0">SUM(F5:F5)</f>
        <v>0</v>
      </c>
      <c r="G6" s="82">
        <f t="shared" si="0"/>
        <v>0</v>
      </c>
      <c r="H6" s="82">
        <f t="shared" si="0"/>
        <v>23660</v>
      </c>
      <c r="I6" s="82">
        <f t="shared" si="0"/>
        <v>0</v>
      </c>
      <c r="J6" s="82">
        <f t="shared" si="0"/>
        <v>0</v>
      </c>
      <c r="K6" s="82">
        <f t="shared" si="0"/>
        <v>23704.2571428571</v>
      </c>
      <c r="L6" s="82">
        <f t="shared" si="0"/>
        <v>1341.75040431267</v>
      </c>
      <c r="M6" s="82">
        <f t="shared" si="0"/>
        <v>464.7</v>
      </c>
      <c r="N6" s="82">
        <f t="shared" si="0"/>
        <v>-10020.7075471698</v>
      </c>
      <c r="O6" s="72">
        <f>N6</f>
        <v>-10020.7075471698</v>
      </c>
    </row>
    <row r="8" spans="1:14">
      <c r="A8" s="75" t="s">
        <v>20</v>
      </c>
      <c r="B8" s="75"/>
      <c r="C8" s="75"/>
      <c r="D8" s="75"/>
      <c r="E8" s="75"/>
      <c r="F8" s="75"/>
      <c r="G8" s="75"/>
      <c r="H8" s="75"/>
      <c r="I8" s="75"/>
      <c r="J8" s="75"/>
      <c r="K8" s="75"/>
      <c r="L8" s="75"/>
      <c r="M8" s="75"/>
      <c r="N8" s="75"/>
    </row>
    <row r="9" ht="28.5" spans="1:14">
      <c r="A9" s="76" t="s">
        <v>1</v>
      </c>
      <c r="B9" s="77" t="s">
        <v>21</v>
      </c>
      <c r="C9" s="76" t="s">
        <v>3</v>
      </c>
      <c r="D9" s="77" t="s">
        <v>4</v>
      </c>
      <c r="E9" s="77"/>
      <c r="F9" s="77"/>
      <c r="G9" s="77"/>
      <c r="H9" s="77"/>
      <c r="I9" s="77"/>
      <c r="J9" s="77"/>
      <c r="K9" s="77"/>
      <c r="L9" s="77"/>
      <c r="M9" s="103" t="s">
        <v>5</v>
      </c>
      <c r="N9" s="77" t="s">
        <v>6</v>
      </c>
    </row>
    <row r="10" ht="42.75" spans="1:14">
      <c r="A10" s="80"/>
      <c r="B10" s="87" t="s">
        <v>22</v>
      </c>
      <c r="C10" s="81"/>
      <c r="D10" s="81" t="s">
        <v>8</v>
      </c>
      <c r="E10" s="77" t="s">
        <v>9</v>
      </c>
      <c r="F10" s="81" t="s">
        <v>10</v>
      </c>
      <c r="G10" s="81" t="s">
        <v>11</v>
      </c>
      <c r="H10" s="81" t="s">
        <v>12</v>
      </c>
      <c r="I10" s="81" t="s">
        <v>13</v>
      </c>
      <c r="J10" s="77" t="s">
        <v>14</v>
      </c>
      <c r="K10" s="107" t="s">
        <v>15</v>
      </c>
      <c r="L10" s="80" t="s">
        <v>23</v>
      </c>
      <c r="M10" s="107"/>
      <c r="N10" s="87" t="s">
        <v>17</v>
      </c>
    </row>
    <row r="11" ht="19" customHeight="1" spans="1:14">
      <c r="A11" s="82" t="s">
        <v>18</v>
      </c>
      <c r="B11" s="10">
        <v>0</v>
      </c>
      <c r="C11" s="82">
        <v>0</v>
      </c>
      <c r="E11" s="88">
        <f>C11/1.06*0.06*0.12/2</f>
        <v>0</v>
      </c>
      <c r="F11" s="82"/>
      <c r="G11" s="82"/>
      <c r="H11" s="82">
        <f>'8月日记账'!E40</f>
        <v>64335.49</v>
      </c>
      <c r="I11" s="106"/>
      <c r="J11" s="82"/>
      <c r="K11" s="91">
        <f>SUM(E11:J11)</f>
        <v>64335.49</v>
      </c>
      <c r="L11" s="91">
        <f>C11/1.06*0.06</f>
        <v>0</v>
      </c>
      <c r="M11" s="91">
        <f>C11*0.03</f>
        <v>0</v>
      </c>
      <c r="N11" s="91">
        <f>C11-K11-L11-M11</f>
        <v>-64335.49</v>
      </c>
    </row>
    <row r="12" ht="19" customHeight="1" spans="1:15">
      <c r="A12" s="82" t="s">
        <v>19</v>
      </c>
      <c r="B12" s="82">
        <f>SUM(B11:B11)</f>
        <v>0</v>
      </c>
      <c r="C12" s="82">
        <f>SUM(C11:C11)</f>
        <v>0</v>
      </c>
      <c r="D12" s="82">
        <f>SUM(D11:D11)</f>
        <v>0</v>
      </c>
      <c r="E12" s="82">
        <f>SUM(E11:E11)</f>
        <v>0</v>
      </c>
      <c r="F12" s="82">
        <f>SUM(F11:F11)</f>
        <v>0</v>
      </c>
      <c r="G12" s="82">
        <f t="shared" ref="F12:N12" si="1">SUM(G11:G11)</f>
        <v>0</v>
      </c>
      <c r="H12" s="82">
        <f t="shared" si="1"/>
        <v>64335.49</v>
      </c>
      <c r="I12" s="82">
        <f t="shared" si="1"/>
        <v>0</v>
      </c>
      <c r="J12" s="82">
        <f t="shared" si="1"/>
        <v>0</v>
      </c>
      <c r="K12" s="82">
        <f t="shared" si="1"/>
        <v>64335.49</v>
      </c>
      <c r="L12" s="82">
        <f t="shared" si="1"/>
        <v>0</v>
      </c>
      <c r="M12" s="82">
        <f t="shared" si="1"/>
        <v>0</v>
      </c>
      <c r="N12" s="82">
        <f t="shared" si="1"/>
        <v>-64335.49</v>
      </c>
      <c r="O12" s="72">
        <f>N12</f>
        <v>-64335.49</v>
      </c>
    </row>
    <row r="15" ht="23" customHeight="1" spans="1:14">
      <c r="A15" s="75" t="s">
        <v>24</v>
      </c>
      <c r="B15" s="75"/>
      <c r="C15" s="75"/>
      <c r="D15" s="75"/>
      <c r="E15" s="75"/>
      <c r="F15" s="75"/>
      <c r="G15" s="75"/>
      <c r="H15" s="75"/>
      <c r="I15" s="75"/>
      <c r="J15" s="75"/>
      <c r="K15" s="75"/>
      <c r="L15" s="75"/>
      <c r="M15" s="75"/>
      <c r="N15" s="75"/>
    </row>
    <row r="16" ht="23" customHeight="1" spans="1:14">
      <c r="A16" s="76" t="s">
        <v>1</v>
      </c>
      <c r="B16" s="77" t="s">
        <v>21</v>
      </c>
      <c r="C16" s="76" t="s">
        <v>3</v>
      </c>
      <c r="D16" s="77" t="s">
        <v>4</v>
      </c>
      <c r="E16" s="77"/>
      <c r="F16" s="77"/>
      <c r="G16" s="77"/>
      <c r="H16" s="77"/>
      <c r="I16" s="77"/>
      <c r="J16" s="77"/>
      <c r="K16" s="77"/>
      <c r="L16" s="77"/>
      <c r="M16" s="103" t="s">
        <v>25</v>
      </c>
      <c r="N16" s="77" t="s">
        <v>26</v>
      </c>
    </row>
    <row r="17" ht="30" customHeight="1" spans="1:14">
      <c r="A17" s="80"/>
      <c r="B17" s="87" t="s">
        <v>27</v>
      </c>
      <c r="C17" s="81"/>
      <c r="D17" s="81" t="s">
        <v>8</v>
      </c>
      <c r="E17" s="77" t="s">
        <v>9</v>
      </c>
      <c r="F17" s="81" t="s">
        <v>10</v>
      </c>
      <c r="G17" s="81" t="s">
        <v>11</v>
      </c>
      <c r="H17" s="81" t="s">
        <v>12</v>
      </c>
      <c r="I17" s="81" t="s">
        <v>13</v>
      </c>
      <c r="J17" s="77" t="s">
        <v>14</v>
      </c>
      <c r="K17" s="107" t="s">
        <v>15</v>
      </c>
      <c r="L17" s="80" t="s">
        <v>23</v>
      </c>
      <c r="M17" s="107"/>
      <c r="N17" s="87" t="s">
        <v>17</v>
      </c>
    </row>
    <row r="18" ht="30" customHeight="1" spans="1:14">
      <c r="A18" s="82" t="s">
        <v>18</v>
      </c>
      <c r="B18" s="82">
        <f>'8月日记账'!B40</f>
        <v>309359.7</v>
      </c>
      <c r="C18" s="82">
        <f>B18</f>
        <v>309359.7</v>
      </c>
      <c r="E18" s="88">
        <f>C18/1.06*0.06*0.12/2</f>
        <v>1050.65558490566</v>
      </c>
      <c r="F18" s="82">
        <f>'8月日记账'!E44</f>
        <v>414</v>
      </c>
      <c r="G18" s="82"/>
      <c r="I18" s="106"/>
      <c r="J18" s="82">
        <f>'7月支援人员费用明细表'!G2</f>
        <v>12472.0464516129</v>
      </c>
      <c r="K18" s="91">
        <f>SUM(E18:J18)</f>
        <v>13936.7020365186</v>
      </c>
      <c r="L18" s="82">
        <f>K18/1.06*0.06</f>
        <v>788.86992659539</v>
      </c>
      <c r="M18" s="91">
        <f>C18*0.03</f>
        <v>9280.791</v>
      </c>
      <c r="N18" s="91">
        <f>C18-K18-L18-M18</f>
        <v>285353.337036886</v>
      </c>
    </row>
    <row r="19" spans="1:15">
      <c r="A19" s="82" t="s">
        <v>19</v>
      </c>
      <c r="B19" s="82">
        <f>SUM(B18:B18)</f>
        <v>309359.7</v>
      </c>
      <c r="C19" s="82">
        <f>SUM(C18:C18)</f>
        <v>309359.7</v>
      </c>
      <c r="D19" s="82">
        <f>SUM(D18:D18)</f>
        <v>0</v>
      </c>
      <c r="E19" s="82">
        <f>SUM(E18:E18)</f>
        <v>1050.65558490566</v>
      </c>
      <c r="F19" s="82">
        <f t="shared" ref="F19:N19" si="2">SUM(F18:F18)</f>
        <v>414</v>
      </c>
      <c r="G19" s="82">
        <f t="shared" si="2"/>
        <v>0</v>
      </c>
      <c r="H19" s="82">
        <f t="shared" si="2"/>
        <v>0</v>
      </c>
      <c r="I19" s="82">
        <f t="shared" si="2"/>
        <v>0</v>
      </c>
      <c r="J19" s="82">
        <f t="shared" si="2"/>
        <v>12472.0464516129</v>
      </c>
      <c r="K19" s="82">
        <f t="shared" si="2"/>
        <v>13936.7020365186</v>
      </c>
      <c r="L19" s="82">
        <f t="shared" si="2"/>
        <v>788.86992659539</v>
      </c>
      <c r="M19" s="82">
        <f t="shared" si="2"/>
        <v>9280.791</v>
      </c>
      <c r="N19" s="82">
        <f t="shared" si="2"/>
        <v>285353.337036886</v>
      </c>
      <c r="O19" s="72">
        <f>N19</f>
        <v>285353.337036886</v>
      </c>
    </row>
    <row r="21" ht="29" customHeight="1" spans="1:14">
      <c r="A21" s="75" t="s">
        <v>28</v>
      </c>
      <c r="B21" s="75"/>
      <c r="C21" s="75"/>
      <c r="D21" s="75"/>
      <c r="E21" s="75"/>
      <c r="F21" s="75"/>
      <c r="G21" s="75"/>
      <c r="H21" s="75"/>
      <c r="I21" s="75"/>
      <c r="J21" s="75"/>
      <c r="K21" s="75"/>
      <c r="L21" s="75"/>
      <c r="M21" s="75"/>
      <c r="N21" s="75"/>
    </row>
    <row r="22" ht="28.5" spans="1:14">
      <c r="A22" s="76" t="s">
        <v>1</v>
      </c>
      <c r="B22" s="77" t="s">
        <v>21</v>
      </c>
      <c r="C22" s="76" t="s">
        <v>3</v>
      </c>
      <c r="D22" s="89" t="s">
        <v>4</v>
      </c>
      <c r="E22" s="90"/>
      <c r="F22" s="90"/>
      <c r="G22" s="90"/>
      <c r="H22" s="90"/>
      <c r="I22" s="90"/>
      <c r="J22" s="90"/>
      <c r="K22" s="90"/>
      <c r="L22" s="105"/>
      <c r="M22" s="76" t="s">
        <v>29</v>
      </c>
      <c r="N22" s="77" t="s">
        <v>26</v>
      </c>
    </row>
    <row r="23" ht="34.95" customHeight="1" spans="1:14">
      <c r="A23" s="80"/>
      <c r="B23" s="77" t="s">
        <v>30</v>
      </c>
      <c r="C23" s="81"/>
      <c r="D23" s="81" t="s">
        <v>8</v>
      </c>
      <c r="E23" s="77" t="s">
        <v>9</v>
      </c>
      <c r="F23" s="77" t="s">
        <v>10</v>
      </c>
      <c r="G23" s="77" t="s">
        <v>11</v>
      </c>
      <c r="H23" s="77" t="s">
        <v>31</v>
      </c>
      <c r="I23" s="77" t="s">
        <v>13</v>
      </c>
      <c r="J23" s="77" t="s">
        <v>14</v>
      </c>
      <c r="K23" s="105" t="s">
        <v>15</v>
      </c>
      <c r="L23" s="104" t="s">
        <v>16</v>
      </c>
      <c r="M23" s="81"/>
      <c r="N23" s="87" t="s">
        <v>17</v>
      </c>
    </row>
    <row r="24" ht="31.8" customHeight="1" spans="1:14">
      <c r="A24" s="82" t="s">
        <v>18</v>
      </c>
      <c r="B24" s="91">
        <f>'8月日记账'!B41</f>
        <v>849934.63</v>
      </c>
      <c r="C24" s="91">
        <f>B24</f>
        <v>849934.63</v>
      </c>
      <c r="E24" s="92">
        <f>C24/1.06*0.06*0.12/2</f>
        <v>2886.57044150943</v>
      </c>
      <c r="F24" s="93">
        <f>'8月日记账'!E42</f>
        <v>364</v>
      </c>
      <c r="G24" s="82"/>
      <c r="H24" s="82"/>
      <c r="I24" s="82">
        <f>'8月日记账'!E41+'8月日记账'!E43</f>
        <v>481286.02</v>
      </c>
      <c r="J24" s="93">
        <f>'7月支援人员费用明细表'!G4+'7月支援人员费用明细表'!G10+'7月支援人员费用明细表'!G11</f>
        <v>27417.0512903226</v>
      </c>
      <c r="K24" s="108">
        <f>SUM(E24:J24)</f>
        <v>511953.641731832</v>
      </c>
      <c r="L24" s="82">
        <f>K24/1.06*0.06</f>
        <v>28978.5080225565</v>
      </c>
      <c r="M24" s="82">
        <f>C24*0.03</f>
        <v>25498.0389</v>
      </c>
      <c r="N24" s="82">
        <f>C24-K24-L24-M24</f>
        <v>283504.441345611</v>
      </c>
    </row>
    <row r="25" ht="31.8" customHeight="1" spans="1:15">
      <c r="A25" s="94" t="s">
        <v>19</v>
      </c>
      <c r="B25" s="91">
        <f t="shared" ref="B25:G25" si="3">SUM(B24:B24)</f>
        <v>849934.63</v>
      </c>
      <c r="C25" s="91">
        <f t="shared" si="3"/>
        <v>849934.63</v>
      </c>
      <c r="D25" s="91">
        <f t="shared" si="3"/>
        <v>0</v>
      </c>
      <c r="E25" s="91">
        <f t="shared" si="3"/>
        <v>2886.57044150943</v>
      </c>
      <c r="F25" s="91">
        <f t="shared" si="3"/>
        <v>364</v>
      </c>
      <c r="G25" s="91">
        <f t="shared" si="3"/>
        <v>0</v>
      </c>
      <c r="H25" s="91">
        <f t="shared" ref="F25:M25" si="4">SUM(H24:H24)</f>
        <v>0</v>
      </c>
      <c r="I25" s="109">
        <f t="shared" si="4"/>
        <v>481286.02</v>
      </c>
      <c r="J25" s="91">
        <f t="shared" si="4"/>
        <v>27417.0512903226</v>
      </c>
      <c r="K25" s="110">
        <f t="shared" si="4"/>
        <v>511953.641731832</v>
      </c>
      <c r="L25" s="110">
        <f t="shared" si="4"/>
        <v>28978.5080225565</v>
      </c>
      <c r="M25" s="110">
        <f t="shared" si="4"/>
        <v>25498.0389</v>
      </c>
      <c r="N25" s="110">
        <f>C25-K25-L25-M25</f>
        <v>283504.441345611</v>
      </c>
      <c r="O25" s="72">
        <f>N25</f>
        <v>283504.441345611</v>
      </c>
    </row>
    <row r="26" ht="31.8" customHeight="1"/>
    <row r="27" customFormat="1" ht="31.8" customHeight="1" spans="1:15">
      <c r="A27" s="75" t="s">
        <v>32</v>
      </c>
      <c r="B27" s="75"/>
      <c r="C27" s="75"/>
      <c r="D27" s="75"/>
      <c r="E27" s="75"/>
      <c r="F27" s="75"/>
      <c r="G27" s="75"/>
      <c r="H27" s="75"/>
      <c r="I27" s="75"/>
      <c r="J27" s="75"/>
      <c r="K27" s="75"/>
      <c r="L27" s="75"/>
      <c r="M27" s="75"/>
      <c r="N27" s="75"/>
      <c r="O27" s="111"/>
    </row>
    <row r="28" customFormat="1" ht="31.8" customHeight="1" spans="1:15">
      <c r="A28" s="76" t="s">
        <v>1</v>
      </c>
      <c r="B28" s="77" t="s">
        <v>21</v>
      </c>
      <c r="C28" s="76" t="s">
        <v>3</v>
      </c>
      <c r="D28" s="89" t="s">
        <v>4</v>
      </c>
      <c r="E28" s="90"/>
      <c r="F28" s="90"/>
      <c r="G28" s="90"/>
      <c r="H28" s="90"/>
      <c r="I28" s="90"/>
      <c r="J28" s="90"/>
      <c r="K28" s="90"/>
      <c r="L28" s="105"/>
      <c r="M28" s="103" t="s">
        <v>25</v>
      </c>
      <c r="N28" s="77" t="s">
        <v>26</v>
      </c>
      <c r="O28" s="111"/>
    </row>
    <row r="29" customFormat="1" ht="31.8" customHeight="1" spans="1:15">
      <c r="A29" s="80"/>
      <c r="B29" s="87" t="s">
        <v>33</v>
      </c>
      <c r="C29" s="81"/>
      <c r="D29" s="81" t="s">
        <v>34</v>
      </c>
      <c r="E29" s="77" t="s">
        <v>9</v>
      </c>
      <c r="F29" s="77" t="s">
        <v>10</v>
      </c>
      <c r="G29" s="77" t="s">
        <v>11</v>
      </c>
      <c r="H29" s="77" t="s">
        <v>12</v>
      </c>
      <c r="I29" s="77" t="s">
        <v>13</v>
      </c>
      <c r="J29" s="77" t="s">
        <v>14</v>
      </c>
      <c r="K29" s="105" t="s">
        <v>15</v>
      </c>
      <c r="L29" s="104" t="s">
        <v>23</v>
      </c>
      <c r="M29" s="107"/>
      <c r="N29" s="87" t="s">
        <v>35</v>
      </c>
      <c r="O29" s="111"/>
    </row>
    <row r="30" customFormat="1" ht="31.8" customHeight="1" spans="1:15">
      <c r="A30" s="82" t="s">
        <v>18</v>
      </c>
      <c r="B30" s="82">
        <f>'8月日记账'!B43</f>
        <v>185944.6</v>
      </c>
      <c r="C30" s="82">
        <f>B30</f>
        <v>185944.6</v>
      </c>
      <c r="D30" s="95">
        <f>8270.98+131271.62</f>
        <v>139542.6</v>
      </c>
      <c r="E30" s="86">
        <f>(C30-D30)/1.05*0.05*0.12/2</f>
        <v>132.577142857143</v>
      </c>
      <c r="F30" s="82"/>
      <c r="H30" s="82"/>
      <c r="I30" s="106">
        <f>'8月日记账'!E45</f>
        <v>151141.62</v>
      </c>
      <c r="J30" s="82"/>
      <c r="K30" s="91">
        <f>SUM(E30:J30)</f>
        <v>151274.197142857</v>
      </c>
      <c r="L30" s="91">
        <f>K30/1.05*0.05</f>
        <v>7203.53319727891</v>
      </c>
      <c r="M30" s="91">
        <f>C30*0.03</f>
        <v>5578.338</v>
      </c>
      <c r="N30" s="91">
        <f>C30-K30-L30-M30</f>
        <v>21888.531659864</v>
      </c>
      <c r="O30" s="111"/>
    </row>
    <row r="31" customFormat="1" ht="31.8" customHeight="1" spans="1:15">
      <c r="A31" s="82" t="s">
        <v>19</v>
      </c>
      <c r="B31" s="82">
        <f>SUM(B30:B30)</f>
        <v>185944.6</v>
      </c>
      <c r="C31" s="82">
        <f>SUM(C30:C30)</f>
        <v>185944.6</v>
      </c>
      <c r="D31" s="82">
        <f>SUM(D30:D30)</f>
        <v>139542.6</v>
      </c>
      <c r="E31" s="82">
        <f>SUM(E30:E30)</f>
        <v>132.577142857143</v>
      </c>
      <c r="F31" s="82">
        <f>SUM(F30:F30)</f>
        <v>0</v>
      </c>
      <c r="G31" s="82">
        <f t="shared" ref="F31:N31" si="5">SUM(G30:G30)</f>
        <v>0</v>
      </c>
      <c r="H31" s="82">
        <f t="shared" si="5"/>
        <v>0</v>
      </c>
      <c r="I31" s="82">
        <f t="shared" si="5"/>
        <v>151141.62</v>
      </c>
      <c r="J31" s="82">
        <f t="shared" si="5"/>
        <v>0</v>
      </c>
      <c r="K31" s="82">
        <f t="shared" si="5"/>
        <v>151274.197142857</v>
      </c>
      <c r="L31" s="82">
        <f t="shared" si="5"/>
        <v>7203.53319727891</v>
      </c>
      <c r="M31" s="82">
        <f t="shared" si="5"/>
        <v>5578.338</v>
      </c>
      <c r="N31" s="82">
        <f t="shared" si="5"/>
        <v>21888.531659864</v>
      </c>
      <c r="O31" s="72">
        <f>N31</f>
        <v>21888.531659864</v>
      </c>
    </row>
    <row r="32" customFormat="1" ht="31.8" customHeight="1" spans="1:15">
      <c r="A32" s="70"/>
      <c r="B32" s="70"/>
      <c r="C32" s="70"/>
      <c r="D32" s="70"/>
      <c r="E32" s="70"/>
      <c r="F32" s="70"/>
      <c r="G32" s="70"/>
      <c r="H32" s="70"/>
      <c r="I32" s="71"/>
      <c r="J32" s="70"/>
      <c r="K32" s="74"/>
      <c r="L32" s="74"/>
      <c r="M32" s="74"/>
      <c r="N32" s="74"/>
      <c r="O32" s="111"/>
    </row>
    <row r="33" customFormat="1" ht="22" customHeight="1" spans="1:15">
      <c r="A33" s="75" t="s">
        <v>36</v>
      </c>
      <c r="B33" s="75"/>
      <c r="C33" s="75"/>
      <c r="D33" s="75"/>
      <c r="E33" s="75"/>
      <c r="F33" s="75"/>
      <c r="G33" s="75"/>
      <c r="H33" s="75"/>
      <c r="I33" s="75"/>
      <c r="J33" s="75"/>
      <c r="K33" s="75"/>
      <c r="L33" s="75"/>
      <c r="M33" s="75"/>
      <c r="N33" s="75"/>
      <c r="O33" s="111"/>
    </row>
    <row r="34" customFormat="1" ht="22" customHeight="1" spans="1:15">
      <c r="A34" s="76" t="s">
        <v>1</v>
      </c>
      <c r="B34" s="77" t="s">
        <v>21</v>
      </c>
      <c r="C34" s="76" t="s">
        <v>3</v>
      </c>
      <c r="D34" s="77" t="s">
        <v>4</v>
      </c>
      <c r="E34" s="77"/>
      <c r="F34" s="77"/>
      <c r="G34" s="77"/>
      <c r="H34" s="77"/>
      <c r="I34" s="77"/>
      <c r="J34" s="77"/>
      <c r="K34" s="77"/>
      <c r="L34" s="77"/>
      <c r="M34" s="103" t="s">
        <v>25</v>
      </c>
      <c r="N34" s="77" t="s">
        <v>26</v>
      </c>
      <c r="O34" s="111"/>
    </row>
    <row r="35" customFormat="1" ht="22" customHeight="1" spans="1:15">
      <c r="A35" s="80"/>
      <c r="B35" s="87" t="s">
        <v>37</v>
      </c>
      <c r="C35" s="81"/>
      <c r="D35" s="81" t="s">
        <v>8</v>
      </c>
      <c r="E35" s="77" t="s">
        <v>9</v>
      </c>
      <c r="F35" s="81" t="s">
        <v>10</v>
      </c>
      <c r="G35" s="81" t="s">
        <v>11</v>
      </c>
      <c r="H35" s="81" t="s">
        <v>12</v>
      </c>
      <c r="I35" s="81" t="s">
        <v>13</v>
      </c>
      <c r="J35" s="77" t="s">
        <v>14</v>
      </c>
      <c r="K35" s="107" t="s">
        <v>15</v>
      </c>
      <c r="L35" s="80" t="s">
        <v>23</v>
      </c>
      <c r="M35" s="107"/>
      <c r="N35" s="87" t="s">
        <v>17</v>
      </c>
      <c r="O35" s="111"/>
    </row>
    <row r="36" customFormat="1" ht="22" customHeight="1" spans="1:15">
      <c r="A36" s="82" t="s">
        <v>18</v>
      </c>
      <c r="B36" s="96">
        <f>'8月日记账'!B44</f>
        <v>412542.16</v>
      </c>
      <c r="C36" s="96">
        <f>B36</f>
        <v>412542.16</v>
      </c>
      <c r="E36" s="92">
        <f>C36/1.06*0.06*0.12/2</f>
        <v>1401.08658113208</v>
      </c>
      <c r="F36" s="82"/>
      <c r="G36" s="82"/>
      <c r="H36" s="82"/>
      <c r="I36" s="106"/>
      <c r="J36" s="82">
        <f>'7月支援人员费用明细表'!G6</f>
        <v>9415.87</v>
      </c>
      <c r="K36" s="91">
        <f>SUM(E36:J36)</f>
        <v>10816.9565811321</v>
      </c>
      <c r="L36" s="91">
        <f>K36/1.06*0.06</f>
        <v>612.280561196155</v>
      </c>
      <c r="M36" s="91">
        <f>C36*0.03</f>
        <v>12376.2648</v>
      </c>
      <c r="N36" s="91">
        <f>C36-K36-L36-M36</f>
        <v>388736.658057672</v>
      </c>
      <c r="O36" s="111"/>
    </row>
    <row r="37" customFormat="1" ht="22" customHeight="1" spans="1:15">
      <c r="A37" s="82" t="s">
        <v>19</v>
      </c>
      <c r="B37" s="82">
        <f t="shared" ref="B37:G37" si="6">SUM(B36:B36)</f>
        <v>412542.16</v>
      </c>
      <c r="C37" s="82">
        <f t="shared" si="6"/>
        <v>412542.16</v>
      </c>
      <c r="D37" s="82">
        <f t="shared" si="6"/>
        <v>0</v>
      </c>
      <c r="E37" s="82">
        <f t="shared" si="6"/>
        <v>1401.08658113208</v>
      </c>
      <c r="F37" s="82">
        <f t="shared" si="6"/>
        <v>0</v>
      </c>
      <c r="G37" s="82">
        <f t="shared" si="6"/>
        <v>0</v>
      </c>
      <c r="H37" s="82">
        <f t="shared" ref="F37:N37" si="7">SUM(H36:H36)</f>
        <v>0</v>
      </c>
      <c r="I37" s="82">
        <f t="shared" si="7"/>
        <v>0</v>
      </c>
      <c r="J37" s="82">
        <f t="shared" si="7"/>
        <v>9415.87</v>
      </c>
      <c r="K37" s="82">
        <f t="shared" si="7"/>
        <v>10816.9565811321</v>
      </c>
      <c r="L37" s="82">
        <f t="shared" si="7"/>
        <v>612.280561196155</v>
      </c>
      <c r="M37" s="82">
        <f t="shared" si="7"/>
        <v>12376.2648</v>
      </c>
      <c r="N37" s="82">
        <f t="shared" si="7"/>
        <v>388736.658057672</v>
      </c>
      <c r="O37" s="111">
        <f>N37</f>
        <v>388736.658057672</v>
      </c>
    </row>
    <row r="38" customFormat="1" ht="31.8" customHeight="1" spans="1:15">
      <c r="A38" s="70"/>
      <c r="B38" s="70"/>
      <c r="C38" s="70"/>
      <c r="D38" s="70"/>
      <c r="E38" s="70"/>
      <c r="F38" s="70"/>
      <c r="G38" s="70"/>
      <c r="H38" s="70"/>
      <c r="I38" s="70"/>
      <c r="J38" s="70"/>
      <c r="K38" s="70"/>
      <c r="L38" s="70"/>
      <c r="M38" s="70"/>
      <c r="N38" s="70"/>
      <c r="O38" s="111"/>
    </row>
    <row r="39" ht="22" customHeight="1" spans="1:14">
      <c r="A39" s="75" t="s">
        <v>38</v>
      </c>
      <c r="B39" s="75"/>
      <c r="C39" s="75"/>
      <c r="D39" s="75"/>
      <c r="E39" s="75"/>
      <c r="F39" s="75"/>
      <c r="G39" s="75"/>
      <c r="H39" s="75"/>
      <c r="I39" s="75"/>
      <c r="J39" s="75"/>
      <c r="K39" s="75"/>
      <c r="L39" s="75"/>
      <c r="M39" s="75"/>
      <c r="N39" s="75"/>
    </row>
    <row r="40" ht="28.5" spans="1:14">
      <c r="A40" s="76" t="s">
        <v>1</v>
      </c>
      <c r="B40" s="77" t="s">
        <v>21</v>
      </c>
      <c r="C40" s="76" t="s">
        <v>3</v>
      </c>
      <c r="D40" s="77" t="s">
        <v>4</v>
      </c>
      <c r="E40" s="77"/>
      <c r="F40" s="77"/>
      <c r="G40" s="77"/>
      <c r="H40" s="77"/>
      <c r="I40" s="77"/>
      <c r="J40" s="77"/>
      <c r="K40" s="77"/>
      <c r="L40" s="77"/>
      <c r="M40" s="103" t="s">
        <v>25</v>
      </c>
      <c r="N40" s="77" t="s">
        <v>26</v>
      </c>
    </row>
    <row r="41" ht="42.75" spans="1:14">
      <c r="A41" s="80"/>
      <c r="B41" s="87" t="s">
        <v>39</v>
      </c>
      <c r="C41" s="81"/>
      <c r="D41" s="81" t="s">
        <v>8</v>
      </c>
      <c r="E41" s="77" t="s">
        <v>9</v>
      </c>
      <c r="F41" s="81" t="s">
        <v>10</v>
      </c>
      <c r="G41" s="81" t="s">
        <v>11</v>
      </c>
      <c r="H41" s="81" t="s">
        <v>12</v>
      </c>
      <c r="I41" s="81" t="s">
        <v>13</v>
      </c>
      <c r="J41" s="77" t="s">
        <v>14</v>
      </c>
      <c r="K41" s="107" t="s">
        <v>15</v>
      </c>
      <c r="L41" s="80" t="s">
        <v>23</v>
      </c>
      <c r="M41" s="107"/>
      <c r="N41" s="87" t="s">
        <v>17</v>
      </c>
    </row>
    <row r="42" ht="21" customHeight="1" spans="1:14">
      <c r="A42" s="82" t="s">
        <v>18</v>
      </c>
      <c r="B42" s="96">
        <f>'8月日记账'!B45</f>
        <v>164920</v>
      </c>
      <c r="C42" s="96">
        <f>B42</f>
        <v>164920</v>
      </c>
      <c r="E42" s="88">
        <f>C42/1.06*0.06*0.12/2</f>
        <v>560.105660377359</v>
      </c>
      <c r="F42" s="82"/>
      <c r="G42" s="82"/>
      <c r="H42" s="82"/>
      <c r="I42" s="106"/>
      <c r="J42" s="82">
        <f>'7月支援人员费用明细表'!G5</f>
        <v>5810</v>
      </c>
      <c r="K42" s="91">
        <f>SUM(E42:J42)</f>
        <v>6370.10566037736</v>
      </c>
      <c r="L42" s="91">
        <f>K42/1.06*0.06</f>
        <v>360.572018511926</v>
      </c>
      <c r="M42" s="91">
        <f>C42*0.03</f>
        <v>4947.6</v>
      </c>
      <c r="N42" s="91">
        <f>C42-K42-L42-M42</f>
        <v>153241.722321111</v>
      </c>
    </row>
    <row r="43" ht="21" customHeight="1" spans="1:15">
      <c r="A43" s="82" t="s">
        <v>19</v>
      </c>
      <c r="B43" s="82">
        <f>SUM(B42:B42)</f>
        <v>164920</v>
      </c>
      <c r="C43" s="82">
        <f>SUM(C42:C42)</f>
        <v>164920</v>
      </c>
      <c r="D43" s="82">
        <f>SUM(D42:D42)</f>
        <v>0</v>
      </c>
      <c r="E43" s="82">
        <f>SUM(E42:E42)</f>
        <v>560.105660377359</v>
      </c>
      <c r="F43" s="82">
        <f t="shared" ref="F43:N43" si="8">SUM(F42:F42)</f>
        <v>0</v>
      </c>
      <c r="G43" s="82">
        <f t="shared" si="8"/>
        <v>0</v>
      </c>
      <c r="H43" s="82">
        <f t="shared" si="8"/>
        <v>0</v>
      </c>
      <c r="I43" s="82">
        <f t="shared" si="8"/>
        <v>0</v>
      </c>
      <c r="J43" s="82">
        <f t="shared" si="8"/>
        <v>5810</v>
      </c>
      <c r="K43" s="82">
        <f t="shared" si="8"/>
        <v>6370.10566037736</v>
      </c>
      <c r="L43" s="82">
        <f t="shared" si="8"/>
        <v>360.572018511926</v>
      </c>
      <c r="M43" s="82">
        <f t="shared" si="8"/>
        <v>4947.6</v>
      </c>
      <c r="N43" s="82">
        <f t="shared" si="8"/>
        <v>153241.722321111</v>
      </c>
      <c r="O43" s="72">
        <f>N43</f>
        <v>153241.722321111</v>
      </c>
    </row>
    <row r="44" customFormat="1" ht="17" customHeight="1" spans="15:15">
      <c r="O44" s="111"/>
    </row>
    <row r="45" s="69" customFormat="1" ht="40" customHeight="1" spans="1:15">
      <c r="A45" s="97" t="s">
        <v>40</v>
      </c>
      <c r="B45" s="97"/>
      <c r="C45" s="97">
        <f>C5+C11+C18+C24+C30+C42+C36</f>
        <v>2663574.94</v>
      </c>
      <c r="D45" s="97">
        <f>D5</f>
        <v>15490</v>
      </c>
      <c r="E45" s="97">
        <f>E5+E11+E18+E24+E30+E36+E42</f>
        <v>6075.25255363881</v>
      </c>
      <c r="F45" s="97">
        <f t="shared" ref="F45:N45" si="9">F5+F11+F18+F24+F30+F42+F36</f>
        <v>778</v>
      </c>
      <c r="G45" s="97">
        <f t="shared" si="9"/>
        <v>0</v>
      </c>
      <c r="H45" s="97">
        <f t="shared" si="9"/>
        <v>87995.49</v>
      </c>
      <c r="I45" s="97">
        <f t="shared" si="9"/>
        <v>632427.64</v>
      </c>
      <c r="J45" s="97">
        <f t="shared" si="9"/>
        <v>55114.9677419355</v>
      </c>
      <c r="K45" s="97">
        <f t="shared" si="9"/>
        <v>782391.350295574</v>
      </c>
      <c r="L45" s="97">
        <f t="shared" si="9"/>
        <v>39285.5141304515</v>
      </c>
      <c r="M45" s="97">
        <f t="shared" si="9"/>
        <v>58145.7327</v>
      </c>
      <c r="N45" s="97">
        <f t="shared" si="9"/>
        <v>1058368.49287397</v>
      </c>
      <c r="O45" s="72"/>
    </row>
    <row r="46" ht="55" customHeight="1" spans="1:12">
      <c r="A46" s="98" t="s">
        <v>41</v>
      </c>
      <c r="B46" s="98"/>
      <c r="C46" s="98"/>
      <c r="D46" s="98"/>
      <c r="E46" s="98"/>
      <c r="F46" s="98"/>
      <c r="G46" s="98"/>
      <c r="H46" s="98"/>
      <c r="I46" s="98"/>
      <c r="K46" s="112" t="s">
        <v>42</v>
      </c>
      <c r="L46" s="112">
        <f>D6+C12+C19+C25+C31+C43+C37</f>
        <v>1938191.09</v>
      </c>
    </row>
    <row r="47" spans="1:12">
      <c r="A47" s="99" t="s">
        <v>43</v>
      </c>
      <c r="B47" s="99"/>
      <c r="C47" s="99"/>
      <c r="D47" s="99"/>
      <c r="E47" s="99"/>
      <c r="F47" s="99"/>
      <c r="G47" s="99"/>
      <c r="K47" s="112" t="s">
        <v>44</v>
      </c>
      <c r="L47" s="112">
        <f>K45+L45+M45</f>
        <v>879822.597126026</v>
      </c>
    </row>
    <row r="48" spans="1:12">
      <c r="A48" s="99"/>
      <c r="B48" s="99"/>
      <c r="C48" s="99"/>
      <c r="D48" s="99"/>
      <c r="E48" s="99"/>
      <c r="F48" s="99"/>
      <c r="G48" s="99"/>
      <c r="K48" s="112"/>
      <c r="L48" s="112"/>
    </row>
    <row r="49" ht="28" customHeight="1" spans="1:12">
      <c r="A49" s="99" t="s">
        <v>45</v>
      </c>
      <c r="B49" s="99"/>
      <c r="C49" s="99"/>
      <c r="D49" s="99"/>
      <c r="E49" s="99"/>
      <c r="F49" s="99"/>
      <c r="G49" s="99"/>
      <c r="K49" s="112"/>
      <c r="L49" s="112"/>
    </row>
    <row r="53" hidden="1" spans="1:7">
      <c r="A53" s="100" t="s">
        <v>46</v>
      </c>
      <c r="B53" s="100"/>
      <c r="C53" s="100"/>
      <c r="D53" s="100"/>
      <c r="E53" s="100"/>
      <c r="F53" s="100"/>
      <c r="G53" s="100"/>
    </row>
    <row r="54" ht="33" hidden="1" customHeight="1" spans="1:14">
      <c r="A54" s="75" t="s">
        <v>47</v>
      </c>
      <c r="B54" s="75"/>
      <c r="C54" s="75"/>
      <c r="D54" s="75"/>
      <c r="E54" s="75"/>
      <c r="F54" s="75"/>
      <c r="G54" s="75"/>
      <c r="H54" s="75"/>
      <c r="I54" s="75"/>
      <c r="J54" s="75"/>
      <c r="K54" s="75"/>
      <c r="L54" s="75"/>
      <c r="M54" s="75"/>
      <c r="N54" s="75"/>
    </row>
    <row r="55" ht="33" hidden="1" customHeight="1" spans="1:14">
      <c r="A55" s="76" t="s">
        <v>1</v>
      </c>
      <c r="B55" s="77" t="s">
        <v>2</v>
      </c>
      <c r="C55" s="76" t="s">
        <v>3</v>
      </c>
      <c r="D55" s="89" t="s">
        <v>4</v>
      </c>
      <c r="E55" s="90"/>
      <c r="F55" s="90"/>
      <c r="G55" s="90"/>
      <c r="H55" s="90"/>
      <c r="I55" s="90"/>
      <c r="J55" s="90"/>
      <c r="K55" s="90"/>
      <c r="L55" s="105"/>
      <c r="M55" s="103" t="s">
        <v>5</v>
      </c>
      <c r="N55" s="77" t="s">
        <v>6</v>
      </c>
    </row>
    <row r="56" ht="33" hidden="1" customHeight="1" spans="1:14">
      <c r="A56" s="80"/>
      <c r="B56" s="87" t="s">
        <v>48</v>
      </c>
      <c r="C56" s="81"/>
      <c r="D56" s="89" t="s">
        <v>9</v>
      </c>
      <c r="E56" s="90"/>
      <c r="F56" s="77" t="s">
        <v>10</v>
      </c>
      <c r="G56" s="77" t="s">
        <v>11</v>
      </c>
      <c r="H56" s="77" t="s">
        <v>12</v>
      </c>
      <c r="I56" s="77" t="s">
        <v>13</v>
      </c>
      <c r="J56" s="77" t="s">
        <v>14</v>
      </c>
      <c r="K56" s="105" t="s">
        <v>15</v>
      </c>
      <c r="L56" s="104" t="s">
        <v>23</v>
      </c>
      <c r="M56" s="107"/>
      <c r="N56" s="87" t="s">
        <v>17</v>
      </c>
    </row>
    <row r="57" ht="33" hidden="1" customHeight="1" spans="1:14">
      <c r="A57" s="82" t="s">
        <v>49</v>
      </c>
      <c r="B57" s="82">
        <v>0</v>
      </c>
      <c r="C57" s="82">
        <v>0</v>
      </c>
      <c r="D57" s="86">
        <f>C57/1.06*0.06*0.12/2</f>
        <v>0</v>
      </c>
      <c r="E57" s="101"/>
      <c r="F57" s="82"/>
      <c r="G57" s="82">
        <v>38160</v>
      </c>
      <c r="H57" s="82"/>
      <c r="I57" s="106"/>
      <c r="J57" s="82"/>
      <c r="K57" s="91">
        <f>SUM(D57:J57)</f>
        <v>38160</v>
      </c>
      <c r="L57" s="91">
        <f>K57/1.06*0.06</f>
        <v>2160</v>
      </c>
      <c r="M57" s="91">
        <f>C57*0.03</f>
        <v>0</v>
      </c>
      <c r="N57" s="91">
        <f>C57-K57-L57-M57</f>
        <v>-40320</v>
      </c>
    </row>
    <row r="58" ht="33" hidden="1" customHeight="1" spans="1:14">
      <c r="A58" s="82" t="s">
        <v>19</v>
      </c>
      <c r="B58" s="82">
        <f>SUM(B57:B57)</f>
        <v>0</v>
      </c>
      <c r="C58" s="82">
        <f>SUM(C57:C57)</f>
        <v>0</v>
      </c>
      <c r="D58" s="86">
        <f>SUM(D57:D57)</f>
        <v>0</v>
      </c>
      <c r="E58" s="101"/>
      <c r="F58" s="82">
        <f t="shared" ref="F58:N58" si="10">SUM(F57:F57)</f>
        <v>0</v>
      </c>
      <c r="G58" s="82">
        <f t="shared" si="10"/>
        <v>38160</v>
      </c>
      <c r="H58" s="82">
        <f t="shared" si="10"/>
        <v>0</v>
      </c>
      <c r="I58" s="82">
        <f t="shared" si="10"/>
        <v>0</v>
      </c>
      <c r="J58" s="82">
        <f t="shared" si="10"/>
        <v>0</v>
      </c>
      <c r="K58" s="82">
        <f t="shared" si="10"/>
        <v>38160</v>
      </c>
      <c r="L58" s="82">
        <f t="shared" si="10"/>
        <v>2160</v>
      </c>
      <c r="M58" s="82">
        <f t="shared" si="10"/>
        <v>0</v>
      </c>
      <c r="N58" s="82">
        <f t="shared" si="10"/>
        <v>-40320</v>
      </c>
    </row>
    <row r="59" spans="1:8">
      <c r="A59" s="71"/>
      <c r="B59" s="71"/>
      <c r="C59" s="71"/>
      <c r="D59" s="71"/>
      <c r="E59" s="71"/>
      <c r="F59" s="71"/>
      <c r="G59" s="71"/>
      <c r="H59" s="71"/>
    </row>
    <row r="60" spans="1:8">
      <c r="A60" s="71"/>
      <c r="B60" s="71"/>
      <c r="C60" s="71"/>
      <c r="D60" s="71"/>
      <c r="E60" s="71"/>
      <c r="F60" s="71"/>
      <c r="G60" s="71"/>
      <c r="H60" s="71"/>
    </row>
    <row r="61" spans="1:8">
      <c r="A61" s="71"/>
      <c r="B61" s="71"/>
      <c r="C61" s="71"/>
      <c r="D61" s="71"/>
      <c r="E61" s="71"/>
      <c r="F61" s="71"/>
      <c r="G61" s="71"/>
      <c r="H61" s="71"/>
    </row>
    <row r="62" spans="1:8">
      <c r="A62" s="71"/>
      <c r="B62" s="71"/>
      <c r="C62" s="71"/>
      <c r="D62" s="71"/>
      <c r="E62" s="71"/>
      <c r="F62" s="71"/>
      <c r="G62" s="71"/>
      <c r="H62" s="71"/>
    </row>
    <row r="63" spans="1:8">
      <c r="A63" s="71"/>
      <c r="B63" s="71"/>
      <c r="C63" s="71"/>
      <c r="D63" s="71"/>
      <c r="E63" s="71"/>
      <c r="F63" s="71"/>
      <c r="G63" s="71"/>
      <c r="H63" s="71"/>
    </row>
    <row r="64" spans="1:8">
      <c r="A64" s="71"/>
      <c r="B64" s="71"/>
      <c r="C64" s="71"/>
      <c r="D64" s="71"/>
      <c r="E64" s="71"/>
      <c r="F64" s="71"/>
      <c r="G64" s="71"/>
      <c r="H64" s="71"/>
    </row>
  </sheetData>
  <mergeCells count="49">
    <mergeCell ref="A2:N2"/>
    <mergeCell ref="E3:K3"/>
    <mergeCell ref="A8:N8"/>
    <mergeCell ref="D9:L9"/>
    <mergeCell ref="A15:N15"/>
    <mergeCell ref="D16:L16"/>
    <mergeCell ref="A21:N21"/>
    <mergeCell ref="D22:L22"/>
    <mergeCell ref="A27:N27"/>
    <mergeCell ref="D28:L28"/>
    <mergeCell ref="A33:N33"/>
    <mergeCell ref="D34:L34"/>
    <mergeCell ref="A39:N39"/>
    <mergeCell ref="D40:L40"/>
    <mergeCell ref="A46:I46"/>
    <mergeCell ref="A49:G49"/>
    <mergeCell ref="A53:G53"/>
    <mergeCell ref="A54:N54"/>
    <mergeCell ref="D55:L55"/>
    <mergeCell ref="D56:E56"/>
    <mergeCell ref="D57:E57"/>
    <mergeCell ref="D58:E58"/>
    <mergeCell ref="A3:A4"/>
    <mergeCell ref="A9:A10"/>
    <mergeCell ref="A16:A17"/>
    <mergeCell ref="A22:A23"/>
    <mergeCell ref="A28:A29"/>
    <mergeCell ref="A34:A35"/>
    <mergeCell ref="A40:A41"/>
    <mergeCell ref="A55:A56"/>
    <mergeCell ref="C3:C4"/>
    <mergeCell ref="C9:C10"/>
    <mergeCell ref="C16:C17"/>
    <mergeCell ref="C22:C23"/>
    <mergeCell ref="C28:C29"/>
    <mergeCell ref="C34:C35"/>
    <mergeCell ref="C40:C41"/>
    <mergeCell ref="C55:C56"/>
    <mergeCell ref="K47:K49"/>
    <mergeCell ref="L47:L49"/>
    <mergeCell ref="M3:M4"/>
    <mergeCell ref="M9:M10"/>
    <mergeCell ref="M16:M17"/>
    <mergeCell ref="M22:M23"/>
    <mergeCell ref="M28:M29"/>
    <mergeCell ref="M34:M35"/>
    <mergeCell ref="M40:M41"/>
    <mergeCell ref="M55:M56"/>
    <mergeCell ref="A47:G48"/>
  </mergeCell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C4" sqref="C4:C10"/>
    </sheetView>
  </sheetViews>
  <sheetFormatPr defaultColWidth="9" defaultRowHeight="13.5" outlineLevelCol="7"/>
  <cols>
    <col min="2" max="2" width="24.75" customWidth="1"/>
    <col min="3" max="3" width="24.75" style="52" customWidth="1"/>
    <col min="4" max="4" width="23.25" style="53" customWidth="1"/>
    <col min="6" max="6" width="34.25" customWidth="1"/>
    <col min="8" max="8" width="13.125" customWidth="1"/>
  </cols>
  <sheetData>
    <row r="1" ht="43" customHeight="1" spans="1:7">
      <c r="A1" s="54" t="s">
        <v>50</v>
      </c>
      <c r="B1" s="54"/>
      <c r="C1" s="55"/>
      <c r="D1" s="55"/>
      <c r="E1" s="54"/>
      <c r="F1" s="10"/>
      <c r="G1" s="10"/>
    </row>
    <row r="2" ht="43" customHeight="1" spans="1:7">
      <c r="A2" s="56" t="s">
        <v>51</v>
      </c>
      <c r="B2" s="57" t="s">
        <v>52</v>
      </c>
      <c r="C2" s="58" t="s">
        <v>53</v>
      </c>
      <c r="D2" s="59"/>
      <c r="E2" s="56" t="s">
        <v>54</v>
      </c>
      <c r="F2" s="10"/>
      <c r="G2" s="10"/>
    </row>
    <row r="3" ht="43" customHeight="1" spans="1:7">
      <c r="A3" s="56"/>
      <c r="B3" s="57"/>
      <c r="C3" s="60" t="s">
        <v>55</v>
      </c>
      <c r="D3" s="61" t="s">
        <v>56</v>
      </c>
      <c r="E3" s="56"/>
      <c r="F3" s="10"/>
      <c r="G3" s="10" t="s">
        <v>57</v>
      </c>
    </row>
    <row r="4" ht="24" customHeight="1" spans="1:8">
      <c r="A4" s="10"/>
      <c r="B4" s="11" t="s">
        <v>58</v>
      </c>
      <c r="C4" s="62">
        <v>38394.38</v>
      </c>
      <c r="D4" s="63" t="s">
        <v>59</v>
      </c>
      <c r="E4" s="10"/>
      <c r="F4" s="11" t="s">
        <v>60</v>
      </c>
      <c r="G4" s="10">
        <v>616</v>
      </c>
      <c r="H4" s="2">
        <f>G4+G5+G7+G6+G8+G9+G10</f>
        <v>15490</v>
      </c>
    </row>
    <row r="5" ht="24" customHeight="1" spans="1:8">
      <c r="A5" s="10"/>
      <c r="B5" s="64"/>
      <c r="C5" s="62">
        <v>114045.25</v>
      </c>
      <c r="D5" s="63" t="s">
        <v>59</v>
      </c>
      <c r="E5" s="10"/>
      <c r="F5" s="64"/>
      <c r="G5" s="10">
        <v>2552</v>
      </c>
      <c r="H5" s="2"/>
    </row>
    <row r="6" ht="24" customHeight="1" spans="1:8">
      <c r="A6" s="10"/>
      <c r="B6" s="64"/>
      <c r="C6" s="62">
        <v>12413.46</v>
      </c>
      <c r="D6" s="63" t="s">
        <v>61</v>
      </c>
      <c r="E6" s="10"/>
      <c r="F6" s="64"/>
      <c r="G6" s="10">
        <v>354</v>
      </c>
      <c r="H6" s="2"/>
    </row>
    <row r="7" ht="24" customHeight="1" spans="1:8">
      <c r="A7" s="10"/>
      <c r="B7" s="64"/>
      <c r="C7" s="62">
        <v>12323.46</v>
      </c>
      <c r="D7" s="63" t="s">
        <v>61</v>
      </c>
      <c r="E7" s="10"/>
      <c r="F7" s="64"/>
      <c r="G7" s="10">
        <v>264</v>
      </c>
      <c r="H7" s="2"/>
    </row>
    <row r="8" ht="24" customHeight="1" spans="1:8">
      <c r="A8" s="10"/>
      <c r="B8" s="64"/>
      <c r="C8" s="62">
        <v>52457.03</v>
      </c>
      <c r="D8" s="63" t="s">
        <v>61</v>
      </c>
      <c r="E8" s="10"/>
      <c r="F8" s="64"/>
      <c r="G8" s="10">
        <v>2288</v>
      </c>
      <c r="H8" s="2"/>
    </row>
    <row r="9" ht="24" customHeight="1" spans="1:8">
      <c r="A9" s="10"/>
      <c r="B9" s="64"/>
      <c r="C9" s="62">
        <v>206267.84</v>
      </c>
      <c r="D9" s="63" t="s">
        <v>62</v>
      </c>
      <c r="E9" s="10"/>
      <c r="F9" s="64"/>
      <c r="G9" s="10">
        <v>4048</v>
      </c>
      <c r="H9" s="2"/>
    </row>
    <row r="10" ht="24" customHeight="1" spans="1:8">
      <c r="A10" s="10"/>
      <c r="B10" s="65"/>
      <c r="C10" s="62">
        <v>304972.43</v>
      </c>
      <c r="D10" s="63" t="s">
        <v>63</v>
      </c>
      <c r="E10" s="10"/>
      <c r="F10" s="65"/>
      <c r="G10" s="66">
        <v>5368</v>
      </c>
      <c r="H10" s="2"/>
    </row>
    <row r="11" ht="24" customHeight="1" spans="1:7">
      <c r="A11" s="10"/>
      <c r="B11" s="10"/>
      <c r="C11" s="67"/>
      <c r="D11" s="68"/>
      <c r="E11" s="10"/>
      <c r="F11" s="10"/>
      <c r="G11" s="10"/>
    </row>
    <row r="12" ht="24" customHeight="1" spans="1:7">
      <c r="A12" s="10"/>
      <c r="B12" s="10" t="s">
        <v>64</v>
      </c>
      <c r="C12" s="67">
        <v>575005.83</v>
      </c>
      <c r="D12" s="63" t="s">
        <v>65</v>
      </c>
      <c r="E12" s="10"/>
      <c r="F12" s="10" t="s">
        <v>66</v>
      </c>
      <c r="G12" s="10"/>
    </row>
    <row r="13" ht="24" customHeight="1" spans="1:7">
      <c r="A13" s="10"/>
      <c r="B13" s="10"/>
      <c r="C13" s="62">
        <v>274928.8</v>
      </c>
      <c r="D13" s="63" t="s">
        <v>67</v>
      </c>
      <c r="E13" s="10"/>
      <c r="F13" s="10"/>
      <c r="G13" s="10"/>
    </row>
    <row r="14" ht="24" customHeight="1" spans="1:7">
      <c r="A14" s="10"/>
      <c r="B14" s="10" t="s">
        <v>68</v>
      </c>
      <c r="C14" s="62">
        <v>412542.16</v>
      </c>
      <c r="D14" s="63" t="s">
        <v>69</v>
      </c>
      <c r="E14" s="10"/>
      <c r="F14" s="10"/>
      <c r="G14" s="10"/>
    </row>
    <row r="15" ht="24" customHeight="1" spans="1:7">
      <c r="A15" s="10"/>
      <c r="B15" s="10" t="s">
        <v>70</v>
      </c>
      <c r="C15" s="62">
        <v>309359.7</v>
      </c>
      <c r="D15" s="63" t="s">
        <v>71</v>
      </c>
      <c r="E15" s="10"/>
      <c r="F15" s="10"/>
      <c r="G15" s="10"/>
    </row>
    <row r="16" ht="24" customHeight="1" spans="1:7">
      <c r="A16" s="10"/>
      <c r="B16" s="11" t="s">
        <v>72</v>
      </c>
      <c r="C16" s="62">
        <v>15048</v>
      </c>
      <c r="D16" s="63" t="s">
        <v>73</v>
      </c>
      <c r="E16" s="10"/>
      <c r="F16" s="10"/>
      <c r="G16" s="10"/>
    </row>
    <row r="17" ht="24" customHeight="1" spans="1:7">
      <c r="A17" s="10"/>
      <c r="B17" s="65"/>
      <c r="C17" s="62">
        <v>170896.6</v>
      </c>
      <c r="D17" s="63" t="s">
        <v>74</v>
      </c>
      <c r="E17" s="10"/>
      <c r="F17" s="10"/>
      <c r="G17" s="10"/>
    </row>
    <row r="18" ht="24" customHeight="1" spans="1:7">
      <c r="A18" s="10"/>
      <c r="B18" s="64" t="s">
        <v>75</v>
      </c>
      <c r="C18" s="62">
        <v>68710</v>
      </c>
      <c r="D18" s="63" t="s">
        <v>65</v>
      </c>
      <c r="E18" s="10"/>
      <c r="F18" s="10"/>
      <c r="G18" s="10"/>
    </row>
    <row r="19" ht="24" customHeight="1" spans="1:7">
      <c r="A19" s="10"/>
      <c r="B19" s="64"/>
      <c r="C19" s="46">
        <v>68710</v>
      </c>
      <c r="D19" s="63" t="s">
        <v>73</v>
      </c>
      <c r="E19" s="10"/>
      <c r="F19" s="10"/>
      <c r="G19" s="10"/>
    </row>
    <row r="20" ht="24" customHeight="1" spans="1:7">
      <c r="A20" s="10"/>
      <c r="B20" s="65"/>
      <c r="C20" s="68">
        <v>27500</v>
      </c>
      <c r="D20" s="63" t="s">
        <v>76</v>
      </c>
      <c r="E20" s="10"/>
      <c r="F20" s="10"/>
      <c r="G20" s="10"/>
    </row>
    <row r="21" ht="24" customHeight="1" spans="3:6">
      <c r="C21" s="53">
        <f>SUM(C4:C20)</f>
        <v>2663574.94</v>
      </c>
      <c r="F21" s="2"/>
    </row>
  </sheetData>
  <mergeCells count="12">
    <mergeCell ref="A1:E1"/>
    <mergeCell ref="C2:D2"/>
    <mergeCell ref="A2:A3"/>
    <mergeCell ref="B2:B3"/>
    <mergeCell ref="B4:B10"/>
    <mergeCell ref="B12:B13"/>
    <mergeCell ref="B16:B17"/>
    <mergeCell ref="B18:B20"/>
    <mergeCell ref="E2:E3"/>
    <mergeCell ref="F4:F10"/>
    <mergeCell ref="F12:F20"/>
    <mergeCell ref="H4:H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topLeftCell="A12" workbookViewId="0">
      <selection activeCell="D49" sqref="D49"/>
    </sheetView>
  </sheetViews>
  <sheetFormatPr defaultColWidth="9" defaultRowHeight="13.5" outlineLevelCol="6"/>
  <cols>
    <col min="1" max="1" width="25.125" style="33" customWidth="1"/>
    <col min="2" max="2" width="38.25" style="34" customWidth="1"/>
    <col min="3" max="3" width="37.75" style="33" customWidth="1"/>
    <col min="4" max="4" width="60.75" style="33" customWidth="1"/>
    <col min="5" max="5" width="10.375" style="33"/>
    <col min="6" max="6" width="16.125" style="33" customWidth="1"/>
    <col min="7" max="7" width="12.375" style="35" customWidth="1"/>
    <col min="8" max="16384" width="9" style="35"/>
  </cols>
  <sheetData>
    <row r="1" spans="1:6">
      <c r="A1" s="36" t="s">
        <v>77</v>
      </c>
      <c r="B1" s="37" t="s">
        <v>78</v>
      </c>
      <c r="C1" s="36" t="s">
        <v>79</v>
      </c>
      <c r="D1" s="36" t="s">
        <v>80</v>
      </c>
      <c r="E1" s="38" t="s">
        <v>81</v>
      </c>
      <c r="F1" s="38" t="s">
        <v>82</v>
      </c>
    </row>
    <row r="2" spans="1:7">
      <c r="A2" s="39" t="s">
        <v>83</v>
      </c>
      <c r="B2" s="40" t="s">
        <v>84</v>
      </c>
      <c r="C2" s="41" t="s">
        <v>85</v>
      </c>
      <c r="D2" s="41" t="s">
        <v>86</v>
      </c>
      <c r="E2" s="42">
        <v>0</v>
      </c>
      <c r="F2" s="42">
        <v>364</v>
      </c>
      <c r="G2" s="35" t="s">
        <v>87</v>
      </c>
    </row>
    <row r="3" ht="22.5" spans="1:6">
      <c r="A3" s="39" t="s">
        <v>76</v>
      </c>
      <c r="B3" s="40" t="s">
        <v>88</v>
      </c>
      <c r="C3" s="41" t="s">
        <v>89</v>
      </c>
      <c r="D3" s="41" t="s">
        <v>90</v>
      </c>
      <c r="E3" s="42">
        <v>27500</v>
      </c>
      <c r="F3" s="42">
        <v>0</v>
      </c>
    </row>
    <row r="4" spans="1:6">
      <c r="A4" s="39" t="s">
        <v>59</v>
      </c>
      <c r="B4" s="40" t="s">
        <v>91</v>
      </c>
      <c r="C4" s="41" t="s">
        <v>85</v>
      </c>
      <c r="D4" s="41" t="s">
        <v>92</v>
      </c>
      <c r="E4" s="42">
        <v>38394.38</v>
      </c>
      <c r="F4" s="42">
        <v>0</v>
      </c>
    </row>
    <row r="5" spans="1:6">
      <c r="A5" s="39" t="s">
        <v>59</v>
      </c>
      <c r="B5" s="41" t="s">
        <v>93</v>
      </c>
      <c r="C5" s="41" t="s">
        <v>89</v>
      </c>
      <c r="D5" s="41" t="s">
        <v>94</v>
      </c>
      <c r="E5" s="42">
        <v>274928.8</v>
      </c>
      <c r="F5" s="42"/>
    </row>
    <row r="6" spans="1:6">
      <c r="A6" s="39" t="s">
        <v>59</v>
      </c>
      <c r="B6" s="40" t="s">
        <v>91</v>
      </c>
      <c r="C6" s="41" t="s">
        <v>85</v>
      </c>
      <c r="D6" s="41" t="s">
        <v>92</v>
      </c>
      <c r="E6" s="42">
        <v>114045.25</v>
      </c>
      <c r="F6" s="42">
        <v>0</v>
      </c>
    </row>
    <row r="7" spans="1:6">
      <c r="A7" s="39" t="s">
        <v>65</v>
      </c>
      <c r="B7" s="40" t="s">
        <v>95</v>
      </c>
      <c r="C7" s="41" t="s">
        <v>89</v>
      </c>
      <c r="D7" s="41" t="s">
        <v>94</v>
      </c>
      <c r="E7" s="42">
        <v>575005.83</v>
      </c>
      <c r="F7" s="42">
        <v>0</v>
      </c>
    </row>
    <row r="8" spans="1:6">
      <c r="A8" s="39" t="s">
        <v>65</v>
      </c>
      <c r="B8" s="40" t="s">
        <v>96</v>
      </c>
      <c r="C8" s="41" t="s">
        <v>89</v>
      </c>
      <c r="D8" s="41" t="s">
        <v>90</v>
      </c>
      <c r="E8" s="42">
        <v>68710</v>
      </c>
      <c r="F8" s="42">
        <v>0</v>
      </c>
    </row>
    <row r="9" spans="1:6">
      <c r="A9" s="39" t="s">
        <v>73</v>
      </c>
      <c r="B9" s="40" t="s">
        <v>96</v>
      </c>
      <c r="C9" s="41" t="s">
        <v>89</v>
      </c>
      <c r="D9" s="41" t="s">
        <v>90</v>
      </c>
      <c r="E9" s="42">
        <v>68710</v>
      </c>
      <c r="F9" s="42">
        <v>0</v>
      </c>
    </row>
    <row r="10" spans="1:6">
      <c r="A10" s="39" t="s">
        <v>73</v>
      </c>
      <c r="B10" s="40" t="s">
        <v>97</v>
      </c>
      <c r="C10" s="41" t="s">
        <v>89</v>
      </c>
      <c r="D10" s="41" t="s">
        <v>98</v>
      </c>
      <c r="E10" s="42">
        <v>15048</v>
      </c>
      <c r="F10" s="42">
        <v>0</v>
      </c>
    </row>
    <row r="11" spans="1:6">
      <c r="A11" s="39" t="s">
        <v>74</v>
      </c>
      <c r="B11" s="40" t="s">
        <v>99</v>
      </c>
      <c r="C11" s="41" t="s">
        <v>89</v>
      </c>
      <c r="D11" s="41" t="s">
        <v>98</v>
      </c>
      <c r="E11" s="42">
        <v>170896.6</v>
      </c>
      <c r="F11" s="42">
        <v>0</v>
      </c>
    </row>
    <row r="12" spans="1:6">
      <c r="A12" s="39" t="s">
        <v>69</v>
      </c>
      <c r="B12" s="40" t="s">
        <v>100</v>
      </c>
      <c r="C12" s="41" t="s">
        <v>89</v>
      </c>
      <c r="D12" s="41" t="s">
        <v>101</v>
      </c>
      <c r="E12" s="42">
        <v>412542.16</v>
      </c>
      <c r="F12" s="42">
        <v>0</v>
      </c>
    </row>
    <row r="13" spans="1:7">
      <c r="A13" s="39" t="s">
        <v>71</v>
      </c>
      <c r="B13" s="40" t="s">
        <v>102</v>
      </c>
      <c r="C13" s="41" t="s">
        <v>85</v>
      </c>
      <c r="D13" s="41" t="s">
        <v>103</v>
      </c>
      <c r="E13" s="42">
        <v>0</v>
      </c>
      <c r="F13" s="42">
        <v>116</v>
      </c>
      <c r="G13" s="33" t="s">
        <v>104</v>
      </c>
    </row>
    <row r="14" spans="1:7">
      <c r="A14" s="39" t="s">
        <v>71</v>
      </c>
      <c r="B14" s="40" t="s">
        <v>102</v>
      </c>
      <c r="C14" s="41" t="s">
        <v>85</v>
      </c>
      <c r="D14" s="41" t="s">
        <v>105</v>
      </c>
      <c r="E14" s="42">
        <v>0</v>
      </c>
      <c r="F14" s="42">
        <v>298</v>
      </c>
      <c r="G14" s="33"/>
    </row>
    <row r="15" spans="1:6">
      <c r="A15" s="39" t="s">
        <v>71</v>
      </c>
      <c r="B15" s="40" t="s">
        <v>106</v>
      </c>
      <c r="C15" s="41" t="s">
        <v>89</v>
      </c>
      <c r="D15" s="41" t="s">
        <v>107</v>
      </c>
      <c r="E15" s="42">
        <v>309359.7</v>
      </c>
      <c r="F15" s="42">
        <v>0</v>
      </c>
    </row>
    <row r="16" spans="1:6">
      <c r="A16" s="39" t="s">
        <v>61</v>
      </c>
      <c r="B16" s="40" t="s">
        <v>108</v>
      </c>
      <c r="C16" s="41" t="s">
        <v>85</v>
      </c>
      <c r="D16" s="41" t="s">
        <v>92</v>
      </c>
      <c r="E16" s="42">
        <v>12413.46</v>
      </c>
      <c r="F16" s="42">
        <v>0</v>
      </c>
    </row>
    <row r="17" spans="1:6">
      <c r="A17" s="39" t="s">
        <v>61</v>
      </c>
      <c r="B17" s="40" t="s">
        <v>108</v>
      </c>
      <c r="C17" s="41" t="s">
        <v>85</v>
      </c>
      <c r="D17" s="41" t="s">
        <v>92</v>
      </c>
      <c r="E17" s="42">
        <v>12323.46</v>
      </c>
      <c r="F17" s="42">
        <v>0</v>
      </c>
    </row>
    <row r="18" spans="1:6">
      <c r="A18" s="39" t="s">
        <v>61</v>
      </c>
      <c r="B18" s="40" t="s">
        <v>109</v>
      </c>
      <c r="C18" s="41" t="s">
        <v>85</v>
      </c>
      <c r="D18" s="41" t="s">
        <v>92</v>
      </c>
      <c r="E18" s="42">
        <v>52457.03</v>
      </c>
      <c r="F18" s="42">
        <v>0</v>
      </c>
    </row>
    <row r="19" spans="1:6">
      <c r="A19" s="39" t="s">
        <v>62</v>
      </c>
      <c r="B19" s="40" t="s">
        <v>110</v>
      </c>
      <c r="C19" s="41" t="s">
        <v>85</v>
      </c>
      <c r="D19" s="41" t="s">
        <v>92</v>
      </c>
      <c r="E19" s="42">
        <v>206267.84</v>
      </c>
      <c r="F19" s="42">
        <v>0</v>
      </c>
    </row>
    <row r="20" spans="1:6">
      <c r="A20" s="39" t="s">
        <v>63</v>
      </c>
      <c r="B20" s="40" t="s">
        <v>111</v>
      </c>
      <c r="C20" s="41" t="s">
        <v>85</v>
      </c>
      <c r="D20" s="41" t="s">
        <v>92</v>
      </c>
      <c r="E20" s="42">
        <v>304972.43</v>
      </c>
      <c r="F20" s="42">
        <v>0</v>
      </c>
    </row>
    <row r="21" s="31" customFormat="1" spans="1:7">
      <c r="A21" s="39" t="s">
        <v>112</v>
      </c>
      <c r="B21" s="43" t="s">
        <v>113</v>
      </c>
      <c r="C21" s="43" t="s">
        <v>114</v>
      </c>
      <c r="D21" s="43" t="s">
        <v>115</v>
      </c>
      <c r="E21" s="42">
        <v>0</v>
      </c>
      <c r="F21" s="42">
        <v>23660</v>
      </c>
      <c r="G21" s="31" t="s">
        <v>116</v>
      </c>
    </row>
    <row r="22" s="31" customFormat="1" spans="1:7">
      <c r="A22" s="39" t="s">
        <v>117</v>
      </c>
      <c r="B22" s="43" t="s">
        <v>118</v>
      </c>
      <c r="C22" s="43" t="s">
        <v>114</v>
      </c>
      <c r="D22" s="43" t="s">
        <v>119</v>
      </c>
      <c r="E22" s="42">
        <v>0</v>
      </c>
      <c r="F22" s="42">
        <v>63935.49</v>
      </c>
      <c r="G22" s="31" t="s">
        <v>120</v>
      </c>
    </row>
    <row r="23" s="31" customFormat="1" spans="1:7">
      <c r="A23" s="39" t="s">
        <v>117</v>
      </c>
      <c r="B23" s="43" t="s">
        <v>121</v>
      </c>
      <c r="C23" s="43" t="s">
        <v>114</v>
      </c>
      <c r="D23" s="43" t="s">
        <v>122</v>
      </c>
      <c r="E23" s="42">
        <v>0</v>
      </c>
      <c r="F23" s="42">
        <v>400</v>
      </c>
      <c r="G23" s="31" t="s">
        <v>120</v>
      </c>
    </row>
    <row r="24" s="31" customFormat="1" spans="1:7">
      <c r="A24" s="39" t="s">
        <v>117</v>
      </c>
      <c r="B24" s="43" t="s">
        <v>123</v>
      </c>
      <c r="C24" s="43" t="s">
        <v>124</v>
      </c>
      <c r="D24" s="43" t="s">
        <v>125</v>
      </c>
      <c r="E24" s="42">
        <v>0</v>
      </c>
      <c r="F24" s="42">
        <v>151141.62</v>
      </c>
      <c r="G24" s="31" t="s">
        <v>126</v>
      </c>
    </row>
    <row r="25" s="31" customFormat="1" spans="1:7">
      <c r="A25" s="39" t="s">
        <v>127</v>
      </c>
      <c r="B25" s="43" t="s">
        <v>123</v>
      </c>
      <c r="C25" s="43" t="s">
        <v>124</v>
      </c>
      <c r="D25" s="43" t="s">
        <v>128</v>
      </c>
      <c r="E25" s="42">
        <v>0</v>
      </c>
      <c r="F25" s="42">
        <v>20921.22</v>
      </c>
      <c r="G25" s="35" t="s">
        <v>87</v>
      </c>
    </row>
    <row r="26" s="31" customFormat="1" spans="1:7">
      <c r="A26" s="39" t="s">
        <v>127</v>
      </c>
      <c r="B26" s="43" t="s">
        <v>123</v>
      </c>
      <c r="C26" s="43" t="s">
        <v>124</v>
      </c>
      <c r="D26" s="43" t="s">
        <v>128</v>
      </c>
      <c r="E26" s="42">
        <v>0</v>
      </c>
      <c r="F26" s="42">
        <v>119162.09</v>
      </c>
      <c r="G26" s="35" t="s">
        <v>87</v>
      </c>
    </row>
    <row r="27" s="31" customFormat="1" spans="1:7">
      <c r="A27" s="39" t="s">
        <v>127</v>
      </c>
      <c r="B27" s="43" t="s">
        <v>123</v>
      </c>
      <c r="C27" s="43" t="s">
        <v>124</v>
      </c>
      <c r="D27" s="43" t="s">
        <v>128</v>
      </c>
      <c r="E27" s="42">
        <v>0</v>
      </c>
      <c r="F27" s="42">
        <v>102605.98</v>
      </c>
      <c r="G27" s="35" t="s">
        <v>87</v>
      </c>
    </row>
    <row r="28" s="31" customFormat="1" spans="1:7">
      <c r="A28" s="39" t="s">
        <v>127</v>
      </c>
      <c r="B28" s="43" t="s">
        <v>123</v>
      </c>
      <c r="C28" s="43" t="s">
        <v>124</v>
      </c>
      <c r="D28" s="43" t="s">
        <v>128</v>
      </c>
      <c r="E28" s="42">
        <v>0</v>
      </c>
      <c r="F28" s="42">
        <v>190961.31</v>
      </c>
      <c r="G28" s="35" t="s">
        <v>87</v>
      </c>
    </row>
    <row r="29" s="31" customFormat="1" spans="1:7">
      <c r="A29" s="39" t="s">
        <v>127</v>
      </c>
      <c r="B29" s="43" t="s">
        <v>123</v>
      </c>
      <c r="C29" s="43" t="s">
        <v>124</v>
      </c>
      <c r="D29" s="43" t="s">
        <v>128</v>
      </c>
      <c r="E29" s="42">
        <v>0</v>
      </c>
      <c r="F29" s="42">
        <v>4000</v>
      </c>
      <c r="G29" s="35" t="s">
        <v>87</v>
      </c>
    </row>
    <row r="30" s="31" customFormat="1" spans="1:7">
      <c r="A30" s="39" t="s">
        <v>127</v>
      </c>
      <c r="B30" s="43" t="s">
        <v>123</v>
      </c>
      <c r="C30" s="43" t="s">
        <v>124</v>
      </c>
      <c r="D30" s="43" t="s">
        <v>129</v>
      </c>
      <c r="E30" s="42">
        <v>0</v>
      </c>
      <c r="F30" s="42">
        <v>4534.6</v>
      </c>
      <c r="G30" s="31" t="s">
        <v>130</v>
      </c>
    </row>
    <row r="31" s="31" customFormat="1" spans="1:7">
      <c r="A31" s="39" t="s">
        <v>69</v>
      </c>
      <c r="B31" s="43" t="s">
        <v>131</v>
      </c>
      <c r="C31" s="43" t="s">
        <v>124</v>
      </c>
      <c r="D31" s="43" t="s">
        <v>132</v>
      </c>
      <c r="E31" s="42">
        <v>0</v>
      </c>
      <c r="F31" s="42">
        <v>37910.05</v>
      </c>
      <c r="G31" s="35" t="s">
        <v>87</v>
      </c>
    </row>
    <row r="32" s="31" customFormat="1" spans="1:7">
      <c r="A32" s="39" t="s">
        <v>69</v>
      </c>
      <c r="B32" s="43" t="s">
        <v>131</v>
      </c>
      <c r="C32" s="43" t="s">
        <v>124</v>
      </c>
      <c r="D32" s="43" t="s">
        <v>133</v>
      </c>
      <c r="E32" s="42">
        <v>0</v>
      </c>
      <c r="F32" s="42">
        <v>1894.64</v>
      </c>
      <c r="G32" s="31" t="s">
        <v>130</v>
      </c>
    </row>
    <row r="33" s="31" customFormat="1" spans="1:7">
      <c r="A33" s="39" t="s">
        <v>71</v>
      </c>
      <c r="B33" s="43" t="s">
        <v>134</v>
      </c>
      <c r="C33" s="43" t="s">
        <v>124</v>
      </c>
      <c r="D33" s="43" t="s">
        <v>135</v>
      </c>
      <c r="E33" s="42">
        <v>0</v>
      </c>
      <c r="F33" s="42">
        <v>380</v>
      </c>
      <c r="G33" s="35" t="s">
        <v>87</v>
      </c>
    </row>
    <row r="34" s="31" customFormat="1" spans="1:7">
      <c r="A34" s="39" t="s">
        <v>71</v>
      </c>
      <c r="B34" s="43" t="s">
        <v>136</v>
      </c>
      <c r="C34" s="43" t="s">
        <v>124</v>
      </c>
      <c r="D34" s="43" t="s">
        <v>128</v>
      </c>
      <c r="E34" s="42">
        <v>1083.87</v>
      </c>
      <c r="F34" s="42">
        <v>0</v>
      </c>
      <c r="G34" s="35" t="s">
        <v>87</v>
      </c>
    </row>
    <row r="35" s="32" customFormat="1" spans="1:6">
      <c r="A35" s="44"/>
      <c r="B35" s="44"/>
      <c r="C35" s="44"/>
      <c r="D35" s="44"/>
      <c r="E35" s="45"/>
      <c r="F35" s="45"/>
    </row>
    <row r="36" s="32" customFormat="1" spans="1:6">
      <c r="A36" s="44"/>
      <c r="B36" s="44"/>
      <c r="C36" s="44"/>
      <c r="D36" s="44"/>
      <c r="E36" s="45"/>
      <c r="F36" s="45"/>
    </row>
    <row r="37" s="32" customFormat="1" spans="1:6">
      <c r="A37" s="44"/>
      <c r="B37" s="44"/>
      <c r="C37" s="44"/>
      <c r="D37" s="44"/>
      <c r="E37" s="45"/>
      <c r="F37" s="45"/>
    </row>
    <row r="38" spans="1:6">
      <c r="A38" s="46" t="s">
        <v>137</v>
      </c>
      <c r="B38" s="47" t="s">
        <v>138</v>
      </c>
      <c r="D38" s="10" t="s">
        <v>139</v>
      </c>
      <c r="E38" s="48" t="s">
        <v>138</v>
      </c>
      <c r="F38" s="48"/>
    </row>
    <row r="39" spans="1:6">
      <c r="A39" s="46" t="s">
        <v>116</v>
      </c>
      <c r="B39" s="47">
        <f>E4+E6+E16+E17+E18+E19+E20</f>
        <v>740873.85</v>
      </c>
      <c r="D39" s="10" t="s">
        <v>140</v>
      </c>
      <c r="E39" s="48">
        <f>F21</f>
        <v>23660</v>
      </c>
      <c r="F39" s="48" t="s">
        <v>141</v>
      </c>
    </row>
    <row r="40" spans="1:6">
      <c r="A40" s="46" t="s">
        <v>142</v>
      </c>
      <c r="B40" s="47">
        <f>E15</f>
        <v>309359.7</v>
      </c>
      <c r="D40" s="10" t="s">
        <v>143</v>
      </c>
      <c r="E40" s="48">
        <f>F22+F23</f>
        <v>64335.49</v>
      </c>
      <c r="F40" s="48" t="s">
        <v>144</v>
      </c>
    </row>
    <row r="41" spans="1:6">
      <c r="A41" s="46" t="s">
        <v>64</v>
      </c>
      <c r="B41" s="47">
        <f>E5+E7</f>
        <v>849934.63</v>
      </c>
      <c r="D41" s="10" t="s">
        <v>145</v>
      </c>
      <c r="E41" s="48">
        <f>F25+F26+F27+F28+F29+F31+F33-E34</f>
        <v>474856.78</v>
      </c>
      <c r="F41" s="49" t="s">
        <v>146</v>
      </c>
    </row>
    <row r="42" spans="1:6">
      <c r="A42" s="46"/>
      <c r="B42" s="47"/>
      <c r="D42" s="10" t="s">
        <v>147</v>
      </c>
      <c r="E42" s="48">
        <f>F2</f>
        <v>364</v>
      </c>
      <c r="F42" s="50"/>
    </row>
    <row r="43" spans="1:6">
      <c r="A43" s="46" t="s">
        <v>126</v>
      </c>
      <c r="B43" s="47">
        <f>E10+E11</f>
        <v>185944.6</v>
      </c>
      <c r="D43" s="10" t="s">
        <v>148</v>
      </c>
      <c r="E43" s="48">
        <f>F30+F32</f>
        <v>6429.24</v>
      </c>
      <c r="F43" s="51"/>
    </row>
    <row r="44" spans="1:6">
      <c r="A44" s="46" t="s">
        <v>68</v>
      </c>
      <c r="B44" s="47">
        <f>E12</f>
        <v>412542.16</v>
      </c>
      <c r="D44" s="46" t="s">
        <v>149</v>
      </c>
      <c r="E44" s="46">
        <f>F13+F14</f>
        <v>414</v>
      </c>
      <c r="F44" s="48" t="s">
        <v>150</v>
      </c>
    </row>
    <row r="45" spans="1:6">
      <c r="A45" s="46" t="s">
        <v>75</v>
      </c>
      <c r="B45" s="47">
        <f>E3+E8+E9</f>
        <v>164920</v>
      </c>
      <c r="D45" s="46" t="s">
        <v>151</v>
      </c>
      <c r="E45" s="46">
        <f>F24</f>
        <v>151141.62</v>
      </c>
      <c r="F45" s="46" t="s">
        <v>152</v>
      </c>
    </row>
    <row r="46" spans="1:5">
      <c r="A46" s="46"/>
      <c r="B46" s="47">
        <f>SUM(B39:B45)</f>
        <v>2663574.94</v>
      </c>
      <c r="E46" s="33">
        <f>SUM(E39:E45)</f>
        <v>721201.13</v>
      </c>
    </row>
  </sheetData>
  <autoFilter xmlns:etc="http://www.wps.cn/officeDocument/2017/etCustomData" ref="A1:H46" etc:filterBottomFollowUsedRange="0">
    <extLst/>
  </autoFilter>
  <mergeCells count="2">
    <mergeCell ref="F41:F43"/>
    <mergeCell ref="G13:G14"/>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opLeftCell="B1" workbookViewId="0">
      <selection activeCell="E19" sqref="E19"/>
    </sheetView>
  </sheetViews>
  <sheetFormatPr defaultColWidth="9" defaultRowHeight="25" customHeight="1"/>
  <cols>
    <col min="1" max="1" width="9" style="2"/>
    <col min="2" max="2" width="16.1333333333333" style="2" customWidth="1"/>
    <col min="3" max="3" width="13.6333333333333" style="3" customWidth="1"/>
    <col min="4" max="4" width="13.125" style="3" customWidth="1"/>
    <col min="5" max="5" width="12.75" style="3" customWidth="1"/>
    <col min="6" max="6" width="13.6333333333333" style="3" customWidth="1"/>
    <col min="7" max="7" width="14.5" style="3" customWidth="1"/>
    <col min="8" max="8" width="24.5" style="4" customWidth="1"/>
    <col min="9" max="9" width="49.875" style="4" customWidth="1"/>
    <col min="10" max="10" width="14.25" style="4" customWidth="1"/>
    <col min="11" max="11" width="31.8833333333333" style="5" customWidth="1"/>
    <col min="12" max="12" width="21.75" style="6" customWidth="1"/>
    <col min="13" max="13" width="10.75" customWidth="1"/>
  </cols>
  <sheetData>
    <row r="1" customHeight="1" spans="1:12">
      <c r="A1" s="7" t="s">
        <v>51</v>
      </c>
      <c r="B1" s="7" t="s">
        <v>153</v>
      </c>
      <c r="C1" s="8" t="s">
        <v>154</v>
      </c>
      <c r="D1" s="9" t="s">
        <v>155</v>
      </c>
      <c r="E1" s="8" t="s">
        <v>156</v>
      </c>
      <c r="F1" s="8" t="s">
        <v>157</v>
      </c>
      <c r="G1" s="8" t="s">
        <v>158</v>
      </c>
      <c r="H1" s="8" t="s">
        <v>159</v>
      </c>
      <c r="I1" s="8" t="s">
        <v>160</v>
      </c>
      <c r="K1" s="23"/>
      <c r="L1" s="24"/>
    </row>
    <row r="2" customHeight="1" spans="1:9">
      <c r="A2" s="10">
        <v>1</v>
      </c>
      <c r="B2" s="11" t="s">
        <v>161</v>
      </c>
      <c r="C2" s="12" t="s">
        <v>162</v>
      </c>
      <c r="D2" s="12">
        <v>1768.63</v>
      </c>
      <c r="E2" s="12">
        <v>7291.48</v>
      </c>
      <c r="F2" s="12" t="s">
        <v>142</v>
      </c>
      <c r="G2" s="12">
        <f>D3+E2+E3+D2</f>
        <v>12472.0464516129</v>
      </c>
      <c r="H2" s="13" t="s">
        <v>18</v>
      </c>
      <c r="I2" s="25" t="s">
        <v>163</v>
      </c>
    </row>
    <row r="3" customHeight="1" spans="1:9">
      <c r="A3" s="10">
        <v>3</v>
      </c>
      <c r="B3" s="10" t="s">
        <v>164</v>
      </c>
      <c r="C3" s="12" t="s">
        <v>165</v>
      </c>
      <c r="D3" s="12">
        <f>1560.63/31*16</f>
        <v>805.486451612903</v>
      </c>
      <c r="E3" s="12">
        <v>2606.45</v>
      </c>
      <c r="F3" s="12"/>
      <c r="G3" s="12"/>
      <c r="H3" s="13" t="s">
        <v>18</v>
      </c>
      <c r="I3" s="25" t="s">
        <v>166</v>
      </c>
    </row>
    <row r="4" customHeight="1" spans="1:9">
      <c r="A4" s="10">
        <v>6</v>
      </c>
      <c r="B4" s="14" t="s">
        <v>167</v>
      </c>
      <c r="C4" s="10" t="s">
        <v>168</v>
      </c>
      <c r="D4" s="12">
        <f>1768.63/31*13</f>
        <v>741.683548387097</v>
      </c>
      <c r="E4" s="12">
        <v>3576.94</v>
      </c>
      <c r="F4" s="12" t="s">
        <v>169</v>
      </c>
      <c r="G4" s="12">
        <f>D4+E4</f>
        <v>4318.6235483871</v>
      </c>
      <c r="H4" s="13" t="s">
        <v>18</v>
      </c>
      <c r="I4" s="22" t="s">
        <v>170</v>
      </c>
    </row>
    <row r="5" ht="46" customHeight="1" spans="1:10">
      <c r="A5" s="10">
        <v>7</v>
      </c>
      <c r="B5" s="14" t="s">
        <v>171</v>
      </c>
      <c r="C5" s="10" t="s">
        <v>172</v>
      </c>
      <c r="D5" s="12"/>
      <c r="E5" s="12">
        <v>5810</v>
      </c>
      <c r="F5" s="12" t="s">
        <v>75</v>
      </c>
      <c r="G5" s="12">
        <f>D5+E5</f>
        <v>5810</v>
      </c>
      <c r="H5" s="13" t="s">
        <v>18</v>
      </c>
      <c r="I5" s="10" t="s">
        <v>173</v>
      </c>
      <c r="J5" s="26" t="s">
        <v>174</v>
      </c>
    </row>
    <row r="6" customHeight="1" spans="1:9">
      <c r="A6" s="10">
        <v>8</v>
      </c>
      <c r="B6" s="14" t="s">
        <v>175</v>
      </c>
      <c r="C6" s="12" t="s">
        <v>176</v>
      </c>
      <c r="D6" s="12">
        <v>1768.63</v>
      </c>
      <c r="E6" s="12">
        <v>7647.24</v>
      </c>
      <c r="F6" s="12" t="s">
        <v>68</v>
      </c>
      <c r="G6" s="12">
        <f>D6+E6</f>
        <v>9415.87</v>
      </c>
      <c r="H6" s="13" t="s">
        <v>18</v>
      </c>
      <c r="I6" s="10" t="s">
        <v>177</v>
      </c>
    </row>
    <row r="7" customHeight="1" spans="1:8">
      <c r="A7" s="15"/>
      <c r="B7" s="16"/>
      <c r="C7" s="15"/>
      <c r="D7" s="17"/>
      <c r="E7" s="17"/>
      <c r="F7" s="17"/>
      <c r="G7" s="17">
        <f>SUM(G2:G6)</f>
        <v>32016.54</v>
      </c>
      <c r="H7" s="18"/>
    </row>
    <row r="9" customHeight="1" spans="1:9">
      <c r="A9" s="7" t="s">
        <v>51</v>
      </c>
      <c r="B9" s="7" t="s">
        <v>153</v>
      </c>
      <c r="C9" s="8" t="s">
        <v>154</v>
      </c>
      <c r="D9" s="9" t="s">
        <v>155</v>
      </c>
      <c r="E9" s="8" t="s">
        <v>156</v>
      </c>
      <c r="F9" s="8" t="s">
        <v>157</v>
      </c>
      <c r="G9" s="8" t="s">
        <v>158</v>
      </c>
      <c r="H9" s="8" t="s">
        <v>159</v>
      </c>
      <c r="I9" s="8" t="s">
        <v>160</v>
      </c>
    </row>
    <row r="10" s="1" customFormat="1" customHeight="1" spans="1:12">
      <c r="A10" s="19">
        <v>1</v>
      </c>
      <c r="B10" s="10" t="s">
        <v>178</v>
      </c>
      <c r="C10" s="20" t="s">
        <v>179</v>
      </c>
      <c r="D10" s="21">
        <f>1768.63/31*7</f>
        <v>399.368064516129</v>
      </c>
      <c r="E10" s="20">
        <f>9383.92/31*7</f>
        <v>2118.94967741935</v>
      </c>
      <c r="F10" s="22" t="s">
        <v>180</v>
      </c>
      <c r="G10" s="12">
        <f>D10+E10</f>
        <v>2518.31774193548</v>
      </c>
      <c r="H10" s="13" t="s">
        <v>18</v>
      </c>
      <c r="I10" s="20" t="s">
        <v>181</v>
      </c>
      <c r="J10" s="27"/>
      <c r="K10" s="28"/>
      <c r="L10" s="29"/>
    </row>
    <row r="11" ht="56" customHeight="1" spans="1:9">
      <c r="A11" s="10">
        <v>2</v>
      </c>
      <c r="B11" s="10" t="s">
        <v>178</v>
      </c>
      <c r="C11" s="12" t="s">
        <v>182</v>
      </c>
      <c r="D11" s="12">
        <v>1768.63</v>
      </c>
      <c r="E11" s="12">
        <v>18811.48</v>
      </c>
      <c r="F11" s="22" t="s">
        <v>180</v>
      </c>
      <c r="G11" s="12">
        <f>D11+E11</f>
        <v>20580.11</v>
      </c>
      <c r="H11" s="13" t="s">
        <v>18</v>
      </c>
      <c r="I11" s="30" t="s">
        <v>183</v>
      </c>
    </row>
    <row r="12" customHeight="1" spans="4:8">
      <c r="D12" s="3">
        <f>SUM(D10:D11)</f>
        <v>2167.99806451613</v>
      </c>
      <c r="E12" s="3">
        <f>SUM(E10:E11)</f>
        <v>20930.4296774194</v>
      </c>
      <c r="F12" s="3">
        <f>SUM(F10:F11)</f>
        <v>0</v>
      </c>
      <c r="G12" s="3">
        <f>SUM(G10:G11)</f>
        <v>23098.4277419355</v>
      </c>
      <c r="H12" s="3">
        <f>SUM(I11:I11)</f>
        <v>0</v>
      </c>
    </row>
    <row r="16" customHeight="1" spans="7:7">
      <c r="G16" s="3">
        <f>G7+G12</f>
        <v>55114.9677419355</v>
      </c>
    </row>
  </sheetData>
  <mergeCells count="2">
    <mergeCell ref="F2:F3"/>
    <mergeCell ref="G2:G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2025.8结算</vt:lpstr>
      <vt:lpstr>8月回款</vt:lpstr>
      <vt:lpstr>8月日记账</vt:lpstr>
      <vt:lpstr>7月支援人员费用明细表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中高后勤陶刘燕15887864674</cp:lastModifiedBy>
  <dcterms:created xsi:type="dcterms:W3CDTF">2025-04-27T02:06:00Z</dcterms:created>
  <dcterms:modified xsi:type="dcterms:W3CDTF">2025-09-18T02:10:17Z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B3BCCF4FEA6644E78391884F385D2ADE_13</vt:lpwstr>
  </property>
  <property fmtid="{D5CDD505-2E9C-101B-9397-08002B2CF9AE}" pid="3" name="KSOProductBuildVer">
    <vt:lpwstr>2052-12.1.0.22529</vt:lpwstr>
  </property>
  <property fmtid="{D5CDD505-2E9C-101B-9397-08002B2CF9AE}" pid="4" name="KSOReadingLayout">
    <vt:bool>true</vt:bool>
  </property>
</Properties>
</file>