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9结算" sheetId="1" r:id="rId1"/>
    <sheet name="9月回款" sheetId="20" r:id="rId2"/>
    <sheet name="9月日记账" sheetId="21" r:id="rId3"/>
    <sheet name="8月支援人员费用明细表" sheetId="22" r:id="rId4"/>
    <sheet name="云南垫付服装费" sheetId="23" r:id="rId5"/>
  </sheets>
  <definedNames>
    <definedName name="_xlnm._FilterDatabase" localSheetId="2" hidden="1">'9月日记账'!$A$1:$G$43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70"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<sst xmlns="http://schemas.openxmlformats.org/spreadsheetml/2006/main" count="460" uniqueCount="205">
  <si>
    <t>新疆工程学院项目</t>
  </si>
  <si>
    <t>收款周期</t>
  </si>
  <si>
    <t>云南中高收入（开票收款）</t>
  </si>
  <si>
    <t>实际收款</t>
  </si>
  <si>
    <t>云南上海公司支出费用统计</t>
  </si>
  <si>
    <t>管理费3%（云南中高收）</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</si>
  <si>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</si>
  <si>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</si>
  <si>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</si>
  <si>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</si>
  <si>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</si>
  <si>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</si>
  <si>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</si>
  <si>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</si>
  <si>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</si>
  <si>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</si>
  <si>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</si>
  <si>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</si>
  <si>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2025.9月</t>
  </si>
  <si>
    <t>合计</t>
  </si>
  <si>
    <t>八一中学项目</t>
  </si>
  <si>
    <t>管理费3%（上海中高收）</t>
  </si>
  <si>
    <t>上海中高向新疆公司支付金额</t>
  </si>
  <si>
    <t>八一中学支付金额</t>
  </si>
  <si>
    <t>增值税</t>
  </si>
  <si>
    <t>新疆公司开具6%差额发票</t>
  </si>
  <si>
    <t>昌吉学院项目</t>
  </si>
  <si>
    <t>上海中高收入（开票收款）</t>
  </si>
  <si>
    <t>昌吉学院支付金额</t>
  </si>
  <si>
    <t>新疆大学绿化项目</t>
  </si>
  <si>
    <t>新疆大学支付金额</t>
  </si>
  <si>
    <t xml:space="preserve">石河子大学项目 </t>
  </si>
  <si>
    <t>管理费3%(上海中高收）</t>
  </si>
  <si>
    <t>石河子大学支付金额（以实际结算为准）</t>
  </si>
  <si>
    <t>云南新疆公司（招行）</t>
  </si>
  <si>
    <t>新疆师专 -安保项目</t>
  </si>
  <si>
    <t>新疆师专支付金额</t>
  </si>
  <si>
    <t>不征税差额</t>
  </si>
  <si>
    <t>新疆公司开具5%差额发票</t>
  </si>
  <si>
    <t>新疆救助站项目</t>
  </si>
  <si>
    <t>救助站支付金额</t>
  </si>
  <si>
    <t>新疆图书馆项目</t>
  </si>
  <si>
    <t>图书馆支付金额</t>
  </si>
  <si>
    <t>新疆总工会项目</t>
  </si>
  <si>
    <t>总工会支付金额</t>
  </si>
  <si>
    <t>9月合计</t>
  </si>
  <si>
    <t>按收入成本支出发生金额结算，2025年9月，合计收款3601078.51元，其中工程学院以服务费为收入结算，最终结算的收入为2890559.82元。云南上海公司扣除成本合计818864.8元，9月需向新疆公司结算金额为2071695.02元。为平衡云南、上海公司收入和成本，本次新疆向上海中高结算开票2071695.02元；</t>
  </si>
  <si>
    <t>结算收入合计：</t>
  </si>
  <si>
    <t>特殊说明：工程学院不以实际收款为结算，按服务费为收入结算；</t>
  </si>
  <si>
    <t>支出成本合计：</t>
  </si>
  <si>
    <t>八一中学家属区物业费和停车费收到新疆个体户不需要和云南公司结算</t>
  </si>
  <si>
    <t>以下项目暂时统计，本次不结算</t>
  </si>
  <si>
    <t xml:space="preserve">八一中学 </t>
  </si>
  <si>
    <t>2025.5月</t>
  </si>
  <si>
    <t>收费台账（2025.9）</t>
  </si>
  <si>
    <t>序号</t>
  </si>
  <si>
    <t>收费项目</t>
  </si>
  <si>
    <t>实际回款情况</t>
  </si>
  <si>
    <t>备注</t>
  </si>
  <si>
    <t>主体公司</t>
  </si>
  <si>
    <t>收入金额</t>
  </si>
  <si>
    <t>实收金额</t>
  </si>
  <si>
    <t>实收日期</t>
  </si>
  <si>
    <t>新疆工程学院</t>
  </si>
  <si>
    <t>2025-9-16</t>
  </si>
  <si>
    <t>中高后勤服务（云南）有限公司</t>
  </si>
  <si>
    <t>2025-9-18</t>
  </si>
  <si>
    <t>2025-9-19</t>
  </si>
  <si>
    <t>八一中学</t>
  </si>
  <si>
    <t>2025-9-8</t>
  </si>
  <si>
    <t>石河子大学</t>
  </si>
  <si>
    <t>2025-9-15</t>
  </si>
  <si>
    <t>上海中高后勤服务（集团）有限公司</t>
  </si>
  <si>
    <t>2025-9-5</t>
  </si>
  <si>
    <t>图书馆</t>
  </si>
  <si>
    <t>2025-9-10</t>
  </si>
  <si>
    <t>新疆大学绿标</t>
  </si>
  <si>
    <t>救助站</t>
  </si>
  <si>
    <t>2025-9-29</t>
  </si>
  <si>
    <t>昌吉学院</t>
  </si>
  <si>
    <t>2025-9-17</t>
  </si>
  <si>
    <t>新疆师专安保</t>
  </si>
  <si>
    <t>2025-9-11</t>
  </si>
  <si>
    <t>总工会</t>
  </si>
  <si>
    <t>2025-9-9</t>
  </si>
  <si>
    <t>日期</t>
  </si>
  <si>
    <t>摘要</t>
  </si>
  <si>
    <t>银行名称</t>
  </si>
  <si>
    <t>对方科目</t>
  </si>
  <si>
    <t>借方金额</t>
  </si>
  <si>
    <t>贷方金额</t>
  </si>
  <si>
    <t>2025-09-04</t>
  </si>
  <si>
    <t>缴纳9月社保</t>
  </si>
  <si>
    <t>1002.03 上海石河子分公司招行993900603210001</t>
  </si>
  <si>
    <t>6401.03.07 主营业务成本 - 人工成本 - 社会保险/005 - 石河子大学</t>
  </si>
  <si>
    <t>2025-09-11</t>
  </si>
  <si>
    <t>收到侯彩霞9月社保</t>
  </si>
  <si>
    <t>6051.02 其他业务收入 - 社保费收入/005 - 石河子大学</t>
  </si>
  <si>
    <t>调减支出</t>
  </si>
  <si>
    <t>2025-09-15</t>
  </si>
  <si>
    <t>发放石河子公司8月工资</t>
  </si>
  <si>
    <t>6401.03.01 主营业务成本 - 人工成本 - 人员工资/005 - 石河子大学</t>
  </si>
  <si>
    <t>发放师专安保8月工资</t>
  </si>
  <si>
    <t>6401.03.01 主营业务成本 - 人工成本 - 人员工资/007 - 新疆师范专科-安保</t>
  </si>
  <si>
    <t>2025-09-22</t>
  </si>
  <si>
    <t>发放非全日制9.1-9.15工资</t>
  </si>
  <si>
    <t>2025-09-25</t>
  </si>
  <si>
    <t>支付社保费用</t>
  </si>
  <si>
    <t>2025-09-26</t>
  </si>
  <si>
    <t>支付公积金费用</t>
  </si>
  <si>
    <t>6401.03.11 主营业务成本 - 人工成本 - 住房公积金/005 - 石河子大学</t>
  </si>
  <si>
    <t>2025-09-08</t>
  </si>
  <si>
    <t>乌鲁木齐八一中学服务费</t>
  </si>
  <si>
    <t>1002.01.01 物业交行世纪城支行（8810）</t>
  </si>
  <si>
    <t>6001.03.01 主营业务收入 - 服务费收入 - 物业服务费收入/095 - 八一中学</t>
  </si>
  <si>
    <t>2025-09-16</t>
  </si>
  <si>
    <t>新疆工程学院劳务派遣费</t>
  </si>
  <si>
    <t>6001.12 主营业务收入 - 劳务派遣服务费收入/075 - 新疆工程学院</t>
  </si>
  <si>
    <t>2025-09-18</t>
  </si>
  <si>
    <t>2025-09-19</t>
  </si>
  <si>
    <t>2025-09-24</t>
  </si>
  <si>
    <t>2025-09-05</t>
  </si>
  <si>
    <t>新疆大学绿化、卫生费</t>
  </si>
  <si>
    <t>1002.01.05 上海中高建行上海临平路支行（2260）</t>
  </si>
  <si>
    <t>6001.10 主营业务收入 - 其他收入/094 - 新疆大学绿化项目</t>
  </si>
  <si>
    <t>石河子大学收入</t>
  </si>
  <si>
    <t>6001.03.04 主营业务收入 - 服务费收入 - 清洁服务费收入/077 - 石河子大学</t>
  </si>
  <si>
    <t>新疆维吾尔自治区总工会办公室收入</t>
  </si>
  <si>
    <t>6001.03.01 主营业务收入 - 服务费收入 - 物业服务费收入/102 - 新疆维吾尔自治区总工会办公室</t>
  </si>
  <si>
    <t>2025-09-09</t>
  </si>
  <si>
    <t>新疆维吾尔自治区总工会机关服务中心收费</t>
  </si>
  <si>
    <t>2025-09-10</t>
  </si>
  <si>
    <t>新疆维吾尔自治区图书馆收费</t>
  </si>
  <si>
    <t>6001.03.01 主营业务收入 - 服务费收入 - 物业服务费收入/097 - 新疆维吾尔自治区图书馆</t>
  </si>
  <si>
    <t>新疆教育学院劳动服务公司收费</t>
  </si>
  <si>
    <t>6001.10 主营业务收入 - 其他收入/093 - 新疆师范专科高等学院</t>
  </si>
  <si>
    <t>石河子大学收费</t>
  </si>
  <si>
    <t>2025-09-17</t>
  </si>
  <si>
    <t>昌吉学院收费</t>
  </si>
  <si>
    <t>6001.10 主营业务收入 - 其他收入/066 - 昌吉学院</t>
  </si>
  <si>
    <t>新疆师范高等专科学校收费</t>
  </si>
  <si>
    <t>2025-09-29</t>
  </si>
  <si>
    <t>新疆维吾尔自治区财政厅国库处委托业务费</t>
  </si>
  <si>
    <t>6001.03.01 主营业务收入 - 服务费收入 - 物业服务费收入/102 - 新疆救助站</t>
  </si>
  <si>
    <t>收入合计</t>
  </si>
  <si>
    <t>金额</t>
  </si>
  <si>
    <t>工程学院</t>
  </si>
  <si>
    <t>垫付合计</t>
  </si>
  <si>
    <t>新疆大学绿化</t>
  </si>
  <si>
    <t>石河子（石河子分公司）</t>
  </si>
  <si>
    <t>石河子项目结算</t>
  </si>
  <si>
    <t>师专安保（石河子分公司）</t>
  </si>
  <si>
    <t>师专安保结算</t>
  </si>
  <si>
    <t>师专安保</t>
  </si>
  <si>
    <t>项目名称</t>
  </si>
  <si>
    <t>支援人员</t>
  </si>
  <si>
    <t>社保公积金</t>
  </si>
  <si>
    <t>实发工资</t>
  </si>
  <si>
    <t>结算项目</t>
  </si>
  <si>
    <t>合计费用</t>
  </si>
  <si>
    <t>支出时间</t>
  </si>
  <si>
    <t>合计出勤天数</t>
  </si>
  <si>
    <t>支援项目</t>
  </si>
  <si>
    <t>云南总部</t>
  </si>
  <si>
    <t>牛叶丞</t>
  </si>
  <si>
    <t>放在八一中学项目结算</t>
  </si>
  <si>
    <t>新疆大学保洁标段出勤18个班（14-31日）；</t>
  </si>
  <si>
    <t>艾卫东</t>
  </si>
  <si>
    <t>新疆大学绿化标段出勤11个班（14-24日）；</t>
  </si>
  <si>
    <t>高树华</t>
  </si>
  <si>
    <t>新疆总部出勤31个班（1-31日）；交通补贴1000元</t>
  </si>
  <si>
    <t>蔡云川</t>
  </si>
  <si>
    <t>新疆总部出勤3个班（14-16日）；石河子大学出勤15个班（17-31日）；</t>
  </si>
  <si>
    <t>沈国良</t>
  </si>
  <si>
    <t>新疆大学绿化标段出勤31个班（1-31日）；补贴1550元；</t>
  </si>
  <si>
    <t>李彪</t>
  </si>
  <si>
    <t>石河子大学出勤18个班（14-31日），补贴900元；</t>
  </si>
  <si>
    <t>刘帅</t>
  </si>
  <si>
    <t>昌吉学院出勤8个班（14-21日）；昌吉一中出勤10个班（22-31日）；补贴900元；</t>
  </si>
  <si>
    <t>赵云利</t>
  </si>
  <si>
    <t>查丞璟</t>
  </si>
  <si>
    <t>新疆大学绿化标段出勤18个班（14-31日），补贴900元；</t>
  </si>
  <si>
    <t>李玉琼</t>
  </si>
  <si>
    <t>救助站出勤31个班（1-31日），补贴1550元；</t>
  </si>
  <si>
    <t>张石平</t>
  </si>
  <si>
    <t>新疆出勤24个班（1-6日、14-31日）补贴2400元；</t>
  </si>
  <si>
    <t>昆明学院一期</t>
  </si>
  <si>
    <t>杨建永</t>
  </si>
  <si>
    <t>支援新疆图书馆出勤9个班（1-5、17-20日）；昌吉州一中出勤11个班（6-16日），补贴1000元；余休共计9个班计发在8月工资中（包含总工会3个班、救助站3个班、图书馆2个班、昌吉一中1个班）；</t>
  </si>
  <si>
    <t>新疆总部</t>
  </si>
  <si>
    <t>常宝轩</t>
  </si>
  <si>
    <t>放在八一中学项目结算调减</t>
  </si>
  <si>
    <t>21个班成本划分云南</t>
  </si>
  <si>
    <t>2025.8.14</t>
  </si>
  <si>
    <t>男保洁服（绿化服）</t>
  </si>
  <si>
    <t>石河子大学 罗曼</t>
  </si>
  <si>
    <t>2025.8.27</t>
  </si>
  <si>
    <t>绿化服</t>
  </si>
  <si>
    <t>新疆大学 马丽</t>
  </si>
  <si>
    <t>2025.9.2</t>
  </si>
  <si>
    <t>反光马甲</t>
  </si>
  <si>
    <t>昌吉学院-狄刚</t>
  </si>
  <si>
    <t>2025.9.17</t>
  </si>
  <si>
    <t>维修服</t>
  </si>
  <si>
    <t>放在石河子大学结算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</si>
</sst>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39">
    <font>
      <sz val="11"/>
      <color theme="1"/>
      <name val="宋体"/>
      <charset val="134"/>
      <scheme val="minor"/>
    </font>
    <font>
      <sz val="12"/>
      <color rgb="FF000000"/>
      <name val="宋体"/>
      <charset val="134"/>
    </font>
    <font>
      <sz val="12"/>
      <name val="宋体"/>
      <charset val="134"/>
    </font>
    <font>
      <sz val="10"/>
      <color theme="1"/>
      <name val="宋体"/>
      <charset val="134"/>
      <scheme val="minor"/>
    </font>
    <font>
      <sz val="9"/>
      <color theme="1"/>
      <name val="宋体"/>
      <charset val="134"/>
      <scheme val="minor"/>
    </font>
    <font>
      <sz val="11"/>
      <color theme="1"/>
      <name val="微软雅黑"/>
      <charset val="134"/>
    </font>
    <font>
      <sz val="11"/>
      <color theme="1"/>
      <name val="宋体"/>
      <charset val="134"/>
    </font>
    <font>
      <b/>
      <sz val="9"/>
      <color theme="1"/>
      <name val="宋体"/>
      <charset val="134"/>
      <scheme val="minor"/>
    </font>
    <font>
      <sz val="11"/>
      <color rgb="FFFF0000"/>
      <name val="宋体"/>
      <charset val="134"/>
      <scheme val="minor"/>
    </font>
    <font>
      <sz val="9"/>
      <name val="宋体"/>
      <charset val="134"/>
    </font>
    <font>
      <b/>
      <sz val="14"/>
      <name val="宋体"/>
      <charset val="134"/>
    </font>
    <font>
      <b/>
      <sz val="11"/>
      <name val="宋体"/>
      <charset val="134"/>
    </font>
    <font>
      <b/>
      <sz val="10"/>
      <name val="宋体"/>
      <charset val="134"/>
    </font>
    <font>
      <sz val="1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1">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9" tint="0.8"/>
        <bgColor indexed="64"/>
      </patternFill>
    </fill>
    <fill>
      <patternFill patternType="solid">
        <fgColor theme="0"/>
        <bgColor indexed="64"/>
      </patternFill>
    </fill>
    <fill>
      <patternFill patternType="solid">
        <fgColor rgb="FF92D050"/>
        <bgColor indexed="64"/>
      </patternFill>
    </fill>
    <fill>
      <patternFill patternType="solid">
        <fgColor theme="9" tint="0.599993896298105"/>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11"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12" borderId="19" applyNumberFormat="0" applyAlignment="0" applyProtection="0">
      <alignment vertical="center"/>
    </xf>
    <xf numFmtId="0" fontId="26" fillId="13" borderId="20" applyNumberFormat="0" applyAlignment="0" applyProtection="0">
      <alignment vertical="center"/>
    </xf>
    <xf numFmtId="0" fontId="27" fillId="13" borderId="19" applyNumberFormat="0" applyAlignment="0" applyProtection="0">
      <alignment vertical="center"/>
    </xf>
    <xf numFmtId="0" fontId="28" fillId="14"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5" fillId="39" borderId="0" applyNumberFormat="0" applyBorder="0" applyAlignment="0" applyProtection="0">
      <alignment vertical="center"/>
    </xf>
    <xf numFmtId="0" fontId="35" fillId="7" borderId="0" applyNumberFormat="0" applyBorder="0" applyAlignment="0" applyProtection="0">
      <alignment vertical="center"/>
    </xf>
    <xf numFmtId="0" fontId="34" fillId="40" borderId="0" applyNumberFormat="0" applyBorder="0" applyAlignment="0" applyProtection="0">
      <alignment vertical="center"/>
    </xf>
    <xf numFmtId="0" fontId="36" fillId="0" borderId="0">
      <alignment vertical="center"/>
    </xf>
  </cellStyleXfs>
  <cellXfs count="128">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3" borderId="0" xfId="0" applyNumberFormat="1" applyFill="1" applyAlignment="1">
      <alignment horizontal="center" vertical="center"/>
    </xf>
    <xf numFmtId="43" fontId="3" fillId="3" borderId="0" xfId="0" applyNumberFormat="1" applyFont="1" applyFill="1" applyAlignment="1">
      <alignment horizontal="center" vertical="center"/>
    </xf>
    <xf numFmtId="0" fontId="4" fillId="3" borderId="0" xfId="0" applyFont="1" applyFill="1" applyBorder="1" applyAlignment="1">
      <alignment horizontal="left" vertical="center"/>
    </xf>
    <xf numFmtId="43" fontId="0" fillId="4" borderId="0" xfId="0" applyNumberFormat="1" applyFill="1">
      <alignment vertical="center"/>
    </xf>
    <xf numFmtId="0" fontId="0" fillId="2" borderId="4" xfId="0" applyFill="1" applyBorder="1" applyAlignment="1">
      <alignment horizontal="center" vertical="center"/>
    </xf>
    <xf numFmtId="43" fontId="0" fillId="2" borderId="4" xfId="0" applyNumberFormat="1" applyFont="1" applyFill="1" applyBorder="1" applyAlignment="1">
      <alignment horizontal="center" vertical="center"/>
    </xf>
    <xf numFmtId="43" fontId="0" fillId="2" borderId="4" xfId="0" applyNumberFormat="1" applyFill="1" applyBorder="1" applyAlignment="1">
      <alignment horizontal="center" vertical="center" wrapText="1"/>
    </xf>
    <xf numFmtId="43" fontId="0" fillId="2" borderId="4" xfId="0" applyNumberForma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Font="1" applyFill="1" applyBorder="1" applyAlignment="1" applyProtection="1">
      <alignment horizontal="center" vertical="center"/>
      <protection locked="0"/>
    </xf>
    <xf numFmtId="43" fontId="0" fillId="0" borderId="4" xfId="0" applyNumberFormat="1" applyBorder="1" applyAlignment="1">
      <alignment horizontal="center" vertical="center"/>
    </xf>
    <xf numFmtId="43" fontId="0" fillId="0" borderId="5" xfId="0" applyNumberFormat="1" applyFont="1" applyBorder="1" applyAlignment="1">
      <alignment horizontal="center" vertical="center" wrapText="1"/>
    </xf>
    <xf numFmtId="176" fontId="0" fillId="3" borderId="4" xfId="0" applyNumberFormat="1" applyFill="1" applyBorder="1" applyAlignment="1">
      <alignment horizontal="center" vertical="center"/>
    </xf>
    <xf numFmtId="0" fontId="0" fillId="0" borderId="7" xfId="0" applyBorder="1" applyAlignment="1">
      <alignment horizontal="center" vertical="center" wrapText="1"/>
    </xf>
    <xf numFmtId="43" fontId="0" fillId="0" borderId="7" xfId="0" applyNumberFormat="1" applyFont="1" applyBorder="1" applyAlignment="1">
      <alignment horizontal="center" vertical="center" wrapText="1"/>
    </xf>
    <xf numFmtId="177" fontId="5" fillId="0" borderId="1" xfId="0" applyNumberFormat="1" applyFont="1" applyFill="1" applyBorder="1" applyAlignment="1" applyProtection="1">
      <alignment horizontal="center" vertical="center"/>
      <protection locked="0"/>
    </xf>
    <xf numFmtId="177" fontId="5" fillId="0" borderId="4"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protection locked="0"/>
    </xf>
    <xf numFmtId="177" fontId="6" fillId="5" borderId="1"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xf>
    <xf numFmtId="0" fontId="0" fillId="0" borderId="6" xfId="0" applyBorder="1" applyAlignment="1">
      <alignment horizontal="center" vertical="center" wrapText="1"/>
    </xf>
    <xf numFmtId="43" fontId="0" fillId="0" borderId="4" xfId="0" applyNumberFormat="1" applyFont="1" applyBorder="1" applyAlignment="1">
      <alignment horizontal="center" vertical="center"/>
    </xf>
    <xf numFmtId="0" fontId="0" fillId="0" borderId="4" xfId="0" applyBorder="1" applyAlignment="1">
      <alignment horizontal="center" vertical="center" wrapText="1"/>
    </xf>
    <xf numFmtId="43" fontId="0" fillId="0" borderId="6"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xf>
    <xf numFmtId="43" fontId="0" fillId="0" borderId="0" xfId="0" applyNumberFormat="1" applyBorder="1" applyAlignment="1">
      <alignment horizontal="center" vertical="center"/>
    </xf>
    <xf numFmtId="176" fontId="0" fillId="3" borderId="0" xfId="0" applyNumberFormat="1" applyFill="1" applyBorder="1" applyAlignment="1">
      <alignment horizontal="center" vertical="center"/>
    </xf>
    <xf numFmtId="43" fontId="0" fillId="0" borderId="4" xfId="0" applyNumberFormat="1" applyBorder="1" applyAlignment="1">
      <alignment horizontal="center" vertical="center" wrapText="1"/>
    </xf>
    <xf numFmtId="43" fontId="3" fillId="2" borderId="4" xfId="0" applyNumberFormat="1" applyFont="1" applyFill="1" applyBorder="1" applyAlignment="1">
      <alignment horizontal="center" vertical="center"/>
    </xf>
    <xf numFmtId="0" fontId="4" fillId="3" borderId="0" xfId="0" applyFont="1" applyFill="1" applyBorder="1" applyAlignment="1">
      <alignment horizontal="center" vertical="center"/>
    </xf>
    <xf numFmtId="43" fontId="0" fillId="4" borderId="0" xfId="0" applyNumberFormat="1" applyFill="1" applyAlignment="1">
      <alignment horizontal="center" vertical="center"/>
    </xf>
    <xf numFmtId="0" fontId="3" fillId="0" borderId="4" xfId="0" applyFont="1" applyBorder="1" applyAlignment="1">
      <alignment horizontal="center" vertical="center" wrapText="1"/>
    </xf>
    <xf numFmtId="43" fontId="4" fillId="3" borderId="0" xfId="0" applyNumberFormat="1" applyFont="1" applyFill="1" applyAlignment="1">
      <alignment horizontal="center" vertical="center" wrapText="1"/>
    </xf>
    <xf numFmtId="43" fontId="3" fillId="3" borderId="4" xfId="0" applyNumberFormat="1" applyFont="1" applyFill="1" applyBorder="1" applyAlignment="1">
      <alignment horizontal="center" vertical="center" wrapText="1"/>
    </xf>
    <xf numFmtId="43" fontId="3" fillId="3" borderId="4" xfId="0"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49" fontId="4" fillId="0" borderId="4" xfId="0" applyNumberFormat="1" applyFont="1" applyFill="1" applyBorder="1" applyAlignment="1">
      <alignment vertical="center"/>
    </xf>
    <xf numFmtId="49" fontId="4" fillId="0" borderId="4" xfId="0" applyNumberFormat="1" applyFont="1" applyFill="1" applyBorder="1" applyAlignment="1">
      <alignment horizontal="left" vertical="center"/>
    </xf>
    <xf numFmtId="0" fontId="4" fillId="0" borderId="4" xfId="0" applyFont="1" applyFill="1" applyBorder="1" applyAlignment="1">
      <alignment horizontal="center" vertical="center"/>
    </xf>
    <xf numFmtId="0" fontId="8" fillId="6" borderId="0" xfId="0" applyFont="1" applyFill="1" applyAlignment="1">
      <alignment vertical="center"/>
    </xf>
    <xf numFmtId="49" fontId="9" fillId="0" borderId="4" xfId="0" applyNumberFormat="1" applyFont="1" applyFill="1" applyBorder="1" applyAlignment="1">
      <alignment vertical="center"/>
    </xf>
    <xf numFmtId="0" fontId="9" fillId="0" borderId="4" xfId="0" applyFont="1" applyFill="1" applyBorder="1" applyAlignment="1">
      <alignment horizontal="center" vertical="center"/>
    </xf>
    <xf numFmtId="0" fontId="0" fillId="0" borderId="4"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10"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49" fontId="12" fillId="7" borderId="4" xfId="0" applyNumberFormat="1" applyFont="1" applyFill="1" applyBorder="1" applyAlignment="1">
      <alignment horizontal="center" vertical="center" wrapText="1"/>
    </xf>
    <xf numFmtId="177" fontId="12" fillId="7" borderId="4" xfId="0" applyNumberFormat="1" applyFont="1" applyFill="1" applyBorder="1" applyAlignment="1">
      <alignment horizontal="center" vertical="center" wrapText="1"/>
    </xf>
    <xf numFmtId="0" fontId="11" fillId="7" borderId="4" xfId="0" applyFont="1" applyFill="1" applyBorder="1" applyAlignment="1">
      <alignment horizontal="center" vertical="center"/>
    </xf>
    <xf numFmtId="178" fontId="11" fillId="7" borderId="4" xfId="0" applyNumberFormat="1" applyFont="1" applyFill="1" applyBorder="1" applyAlignment="1">
      <alignment horizontal="center" vertical="center"/>
    </xf>
    <xf numFmtId="0" fontId="0" fillId="0" borderId="5" xfId="0" applyBorder="1" applyAlignment="1">
      <alignment horizontal="center" vertical="center"/>
    </xf>
    <xf numFmtId="179" fontId="11" fillId="7" borderId="4" xfId="0" applyNumberFormat="1" applyFont="1" applyFill="1" applyBorder="1" applyAlignment="1">
      <alignment horizontal="center" vertical="center" wrapText="1"/>
    </xf>
    <xf numFmtId="178" fontId="11" fillId="7" borderId="4" xfId="0" applyNumberFormat="1" applyFont="1" applyFill="1" applyBorder="1" applyAlignment="1">
      <alignment horizontal="center" vertical="center" wrapText="1"/>
    </xf>
    <xf numFmtId="0" fontId="0" fillId="0" borderId="6" xfId="0" applyBorder="1" applyAlignment="1">
      <alignment horizontal="center" vertical="center"/>
    </xf>
    <xf numFmtId="0" fontId="13" fillId="0" borderId="4" xfId="0" applyFont="1" applyFill="1" applyBorder="1" applyAlignment="1">
      <alignment horizontal="center" vertical="center"/>
    </xf>
    <xf numFmtId="49" fontId="0" fillId="0" borderId="4" xfId="0" applyNumberFormat="1" applyFont="1" applyFill="1" applyBorder="1" applyAlignment="1">
      <alignment horizontal="center" vertical="center"/>
    </xf>
    <xf numFmtId="0" fontId="0" fillId="0" borderId="7" xfId="0" applyBorder="1" applyAlignment="1">
      <alignment horizontal="center" vertical="center"/>
    </xf>
    <xf numFmtId="0" fontId="13" fillId="0" borderId="4" xfId="0" applyFont="1" applyBorder="1" applyAlignment="1">
      <alignment horizontal="center" vertical="center"/>
    </xf>
    <xf numFmtId="0" fontId="14" fillId="0" borderId="0" xfId="0" applyFont="1" applyFill="1" applyAlignment="1">
      <alignment horizontal="center" vertical="center"/>
    </xf>
    <xf numFmtId="177" fontId="14" fillId="0" borderId="0" xfId="0" applyNumberFormat="1" applyFont="1" applyAlignment="1">
      <alignment horizontal="center" vertical="center"/>
    </xf>
    <xf numFmtId="177" fontId="14" fillId="0" borderId="0" xfId="0" applyNumberFormat="1" applyFont="1" applyAlignment="1">
      <alignment horizontal="center" vertical="center" wrapText="1"/>
    </xf>
    <xf numFmtId="177" fontId="14" fillId="0" borderId="0" xfId="0" applyNumberFormat="1" applyFont="1" applyFill="1" applyAlignment="1">
      <alignment horizontal="center" vertical="center"/>
    </xf>
    <xf numFmtId="0" fontId="14" fillId="0" borderId="0" xfId="0" applyFont="1" applyAlignment="1">
      <alignment horizontal="center" vertical="center"/>
    </xf>
    <xf numFmtId="177" fontId="14" fillId="5" borderId="0" xfId="0" applyNumberFormat="1" applyFont="1" applyFill="1" applyAlignment="1">
      <alignment horizontal="center" vertical="center"/>
    </xf>
    <xf numFmtId="177" fontId="15" fillId="6" borderId="4" xfId="0" applyNumberFormat="1" applyFont="1" applyFill="1" applyBorder="1" applyAlignment="1">
      <alignment horizontal="center" vertical="center"/>
    </xf>
    <xf numFmtId="177" fontId="14" fillId="6" borderId="5" xfId="0" applyNumberFormat="1" applyFont="1" applyFill="1" applyBorder="1" applyAlignment="1">
      <alignment horizontal="center" vertical="center" wrapText="1"/>
    </xf>
    <xf numFmtId="177" fontId="14" fillId="6" borderId="4" xfId="0" applyNumberFormat="1" applyFont="1" applyFill="1" applyBorder="1" applyAlignment="1">
      <alignment horizontal="center" vertical="center" wrapText="1"/>
    </xf>
    <xf numFmtId="177" fontId="14" fillId="6" borderId="8" xfId="0" applyNumberFormat="1" applyFont="1" applyFill="1" applyBorder="1" applyAlignment="1">
      <alignment horizontal="center" vertical="center" wrapText="1"/>
    </xf>
    <xf numFmtId="177" fontId="14" fillId="6" borderId="9" xfId="0" applyNumberFormat="1" applyFont="1" applyFill="1" applyBorder="1" applyAlignment="1">
      <alignment horizontal="center" vertical="center" wrapText="1"/>
    </xf>
    <xf numFmtId="177" fontId="14" fillId="6" borderId="6" xfId="0" applyNumberFormat="1" applyFont="1" applyFill="1" applyBorder="1" applyAlignment="1">
      <alignment horizontal="center" vertical="center"/>
    </xf>
    <xf numFmtId="177" fontId="14" fillId="6" borderId="6" xfId="0" applyNumberFormat="1" applyFont="1" applyFill="1" applyBorder="1" applyAlignment="1">
      <alignment horizontal="center" vertical="center" wrapText="1"/>
    </xf>
    <xf numFmtId="177" fontId="14" fillId="0" borderId="4" xfId="0" applyNumberFormat="1" applyFont="1" applyBorder="1" applyAlignment="1">
      <alignment horizontal="center" vertical="center"/>
    </xf>
    <xf numFmtId="177" fontId="16" fillId="0" borderId="4" xfId="0" applyNumberFormat="1" applyFont="1" applyBorder="1" applyAlignment="1">
      <alignment horizontal="center" vertical="center"/>
    </xf>
    <xf numFmtId="177" fontId="14" fillId="5" borderId="10" xfId="0" applyNumberFormat="1" applyFont="1" applyFill="1" applyBorder="1" applyAlignment="1">
      <alignment horizontal="center" vertical="center" wrapText="1"/>
    </xf>
    <xf numFmtId="177" fontId="15" fillId="0" borderId="4" xfId="0" applyNumberFormat="1" applyFont="1" applyBorder="1" applyAlignment="1">
      <alignment horizontal="center" vertical="center"/>
    </xf>
    <xf numFmtId="177" fontId="14" fillId="0" borderId="11" xfId="0" applyNumberFormat="1" applyFont="1" applyBorder="1" applyAlignment="1">
      <alignment horizontal="center" vertical="center"/>
    </xf>
    <xf numFmtId="177" fontId="14" fillId="6" borderId="11" xfId="0" applyNumberFormat="1" applyFont="1" applyFill="1" applyBorder="1" applyAlignment="1">
      <alignment horizontal="center" vertical="center" wrapText="1"/>
    </xf>
    <xf numFmtId="177" fontId="14" fillId="6" borderId="12" xfId="0" applyNumberFormat="1" applyFont="1" applyFill="1" applyBorder="1" applyAlignment="1">
      <alignment horizontal="center" vertical="center" wrapText="1"/>
    </xf>
    <xf numFmtId="177" fontId="14" fillId="0" borderId="11" xfId="0" applyNumberFormat="1" applyFont="1" applyBorder="1" applyAlignment="1">
      <alignment vertical="center"/>
    </xf>
    <xf numFmtId="177" fontId="14" fillId="6" borderId="4" xfId="0" applyNumberFormat="1" applyFont="1" applyFill="1" applyBorder="1" applyAlignment="1">
      <alignment horizontal="center" vertical="center"/>
    </xf>
    <xf numFmtId="177" fontId="14" fillId="5" borderId="4" xfId="0" applyNumberFormat="1" applyFont="1" applyFill="1" applyBorder="1" applyAlignment="1">
      <alignment horizontal="center" vertical="center"/>
    </xf>
    <xf numFmtId="177" fontId="14" fillId="0" borderId="4" xfId="0" applyNumberFormat="1" applyFont="1" applyBorder="1" applyAlignment="1">
      <alignment vertical="center"/>
    </xf>
    <xf numFmtId="177" fontId="14" fillId="5" borderId="6" xfId="0" applyNumberFormat="1" applyFont="1" applyFill="1" applyBorder="1" applyAlignment="1">
      <alignment horizontal="center" vertical="center"/>
    </xf>
    <xf numFmtId="177" fontId="15" fillId="5" borderId="4" xfId="0" applyNumberFormat="1" applyFont="1" applyFill="1" applyBorder="1" applyAlignment="1">
      <alignment horizontal="center" vertical="center"/>
    </xf>
    <xf numFmtId="0" fontId="14" fillId="0" borderId="4" xfId="0" applyFont="1" applyBorder="1" applyAlignment="1">
      <alignment horizontal="center" vertical="center"/>
    </xf>
    <xf numFmtId="177" fontId="16" fillId="8" borderId="0" xfId="0" applyNumberFormat="1" applyFont="1" applyFill="1" applyAlignment="1">
      <alignment horizontal="center" vertical="center"/>
    </xf>
    <xf numFmtId="0" fontId="14" fillId="0" borderId="0" xfId="0" applyFont="1" applyAlignment="1">
      <alignment horizontal="left" vertical="center" wrapText="1"/>
    </xf>
    <xf numFmtId="177" fontId="14" fillId="9" borderId="0" xfId="0" applyNumberFormat="1" applyFont="1" applyFill="1" applyAlignment="1">
      <alignment horizontal="center" vertical="center"/>
    </xf>
    <xf numFmtId="177" fontId="14" fillId="5" borderId="0" xfId="0" applyNumberFormat="1" applyFont="1" applyFill="1" applyAlignment="1">
      <alignment horizontal="center" vertical="center" wrapText="1"/>
    </xf>
    <xf numFmtId="177" fontId="14" fillId="6" borderId="13" xfId="0" applyNumberFormat="1" applyFont="1" applyFill="1" applyBorder="1" applyAlignment="1">
      <alignment horizontal="center" vertical="center" wrapText="1"/>
    </xf>
    <xf numFmtId="177" fontId="14" fillId="6" borderId="0" xfId="0" applyNumberFormat="1" applyFont="1" applyFill="1" applyAlignment="1">
      <alignment horizontal="center" vertical="center"/>
    </xf>
    <xf numFmtId="177" fontId="14" fillId="6" borderId="14" xfId="0" applyNumberFormat="1" applyFont="1" applyFill="1" applyBorder="1" applyAlignment="1">
      <alignment horizontal="center" vertical="center" wrapText="1"/>
    </xf>
    <xf numFmtId="177" fontId="14" fillId="0" borderId="4" xfId="0" applyNumberFormat="1" applyFont="1" applyBorder="1" applyAlignment="1">
      <alignment horizontal="center" vertical="center" wrapText="1"/>
    </xf>
    <xf numFmtId="177" fontId="0" fillId="0" borderId="0" xfId="0" applyNumberFormat="1" applyFill="1">
      <alignment vertical="center"/>
    </xf>
    <xf numFmtId="177" fontId="14" fillId="6" borderId="15"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xf>
    <xf numFmtId="177" fontId="14" fillId="5" borderId="4" xfId="0" applyNumberFormat="1" applyFont="1" applyFill="1" applyBorder="1" applyAlignment="1">
      <alignment horizontal="center" vertical="center" wrapText="1"/>
    </xf>
    <xf numFmtId="177" fontId="14" fillId="0" borderId="4" xfId="0" applyNumberFormat="1" applyFont="1" applyFill="1" applyBorder="1" applyAlignment="1">
      <alignment horizontal="center" vertical="center"/>
    </xf>
    <xf numFmtId="177" fontId="14" fillId="10" borderId="0" xfId="0" applyNumberFormat="1" applyFont="1" applyFill="1" applyAlignment="1">
      <alignment horizontal="center" vertical="center"/>
    </xf>
    <xf numFmtId="177" fontId="14" fillId="0" borderId="1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abSelected="1" zoomScale="90" zoomScaleNormal="90" topLeftCell="A42" workbookViewId="0">
      <selection activeCell="H73" sqref="H73"/>
    </sheetView>
  </sheetViews>
  <sheetFormatPr defaultColWidth="9" defaultRowHeight="14.25"/>
  <cols>
    <col min="1" max="1" width="19.3333333333333" style="87" customWidth="1"/>
    <col min="2" max="2" width="14.4416666666667" style="87" customWidth="1"/>
    <col min="3" max="3" width="11.9416666666667" style="87" customWidth="1"/>
    <col min="4" max="4" width="13.2" style="87" customWidth="1"/>
    <col min="5" max="5" width="9.575" style="87" customWidth="1"/>
    <col min="6" max="6" width="14.3333333333333" style="87" customWidth="1"/>
    <col min="7" max="7" width="12.3333333333333" style="87" customWidth="1"/>
    <col min="8" max="8" width="13.4416666666667" style="87" customWidth="1"/>
    <col min="9" max="9" width="16.5583333333333" style="88" customWidth="1"/>
    <col min="10" max="10" width="23.6666666666667" style="87" customWidth="1"/>
    <col min="11" max="11" width="19.8833333333333" style="87" customWidth="1"/>
    <col min="12" max="12" width="14.2166666666667" style="87" customWidth="1"/>
    <col min="13" max="13" width="21.4416666666667" style="87" customWidth="1"/>
    <col min="14" max="14" width="22.2166666666667" style="87" customWidth="1"/>
    <col min="15" max="15" width="12.6333333333333" style="89" customWidth="1"/>
    <col min="16" max="16384" width="9" style="90"/>
  </cols>
  <sheetData>
    <row r="1" spans="1:14">
      <c r="A1" s="91"/>
      <c r="B1" s="91"/>
      <c r="C1" s="91"/>
      <c r="D1" s="91"/>
      <c r="E1" s="91"/>
      <c r="F1" s="91"/>
      <c r="G1" s="91"/>
      <c r="H1" s="91"/>
      <c r="I1" s="116"/>
      <c r="J1" s="91"/>
      <c r="K1" s="91"/>
      <c r="L1" s="91"/>
      <c r="M1" s="91"/>
      <c r="N1" s="91"/>
    </row>
    <row r="2" ht="19.05" customHeight="1" spans="1:14">
      <c r="A2" s="92" t="s">
        <v>0</v>
      </c>
      <c r="B2" s="92"/>
      <c r="C2" s="92"/>
      <c r="D2" s="92"/>
      <c r="E2" s="92"/>
      <c r="F2" s="92"/>
      <c r="G2" s="92"/>
      <c r="H2" s="92"/>
      <c r="I2" s="92"/>
      <c r="J2" s="92"/>
      <c r="K2" s="92"/>
      <c r="L2" s="92"/>
      <c r="M2" s="92"/>
      <c r="N2" s="92"/>
    </row>
    <row r="3" ht="31.2" customHeight="1" spans="1:14">
      <c r="A3" s="93" t="s">
        <v>1</v>
      </c>
      <c r="B3" s="94" t="s">
        <v>2</v>
      </c>
      <c r="C3" s="93" t="s">
        <v>3</v>
      </c>
      <c r="D3" s="94"/>
      <c r="E3" s="95" t="s">
        <v>4</v>
      </c>
      <c r="F3" s="96"/>
      <c r="G3" s="96"/>
      <c r="H3" s="96"/>
      <c r="I3" s="96"/>
      <c r="J3" s="96"/>
      <c r="K3" s="117"/>
      <c r="L3" s="118"/>
      <c r="M3" s="93" t="s">
        <v>5</v>
      </c>
      <c r="N3" s="94" t="s">
        <v>6</v>
      </c>
    </row>
    <row r="4" ht="42.75" spans="1:14">
      <c r="A4" s="97"/>
      <c r="B4" s="94" t="s">
        <v>7</v>
      </c>
      <c r="C4" s="98"/>
      <c r="D4" s="98" t="s">
        <v>8</v>
      </c>
      <c r="E4" s="94" t="s">
        <v>9</v>
      </c>
      <c r="F4" s="94" t="s">
        <v>10</v>
      </c>
      <c r="G4" s="94" t="s">
        <v>11</v>
      </c>
      <c r="H4" s="94" t="s">
        <v>12</v>
      </c>
      <c r="I4" s="94" t="s">
        <v>13</v>
      </c>
      <c r="J4" s="94" t="s">
        <v>14</v>
      </c>
      <c r="K4" s="119" t="s">
        <v>15</v>
      </c>
      <c r="L4" s="118" t="s">
        <v>16</v>
      </c>
      <c r="M4" s="98"/>
      <c r="N4" s="107" t="s">
        <v>17</v>
      </c>
    </row>
    <row r="5" ht="25" customHeight="1" spans="1:14">
      <c r="A5" s="99" t="s">
        <v>18</v>
      </c>
      <c r="B5" s="99">
        <v>725566.69</v>
      </c>
      <c r="C5" s="99">
        <f>B5</f>
        <v>725566.69</v>
      </c>
      <c r="D5" s="100">
        <v>15048</v>
      </c>
      <c r="E5" s="101">
        <f>D5/1.05*0.05*0.12/2</f>
        <v>42.9942857142857</v>
      </c>
      <c r="F5" s="99"/>
      <c r="G5" s="99"/>
      <c r="H5" s="99"/>
      <c r="I5" s="120"/>
      <c r="J5" s="99"/>
      <c r="K5" s="99">
        <f>E5+F5+G5+H5+I5+J5</f>
        <v>42.9942857142857</v>
      </c>
      <c r="L5" s="99">
        <f>K5/1.06*0.06</f>
        <v>2.43363881401617</v>
      </c>
      <c r="M5" s="99">
        <f>D5*0.03</f>
        <v>451.44</v>
      </c>
      <c r="N5" s="108">
        <f>D5-K5-L5-M5</f>
        <v>14551.1320754717</v>
      </c>
    </row>
    <row r="6" ht="25" customHeight="1" spans="1:15">
      <c r="A6" s="102" t="s">
        <v>19</v>
      </c>
      <c r="B6" s="99">
        <f>SUM(B5:B5)</f>
        <v>725566.69</v>
      </c>
      <c r="C6" s="99">
        <f>SUM(C5:C5)</f>
        <v>725566.69</v>
      </c>
      <c r="D6" s="99">
        <f>SUM(D5:D5)</f>
        <v>15048</v>
      </c>
      <c r="E6" s="103">
        <f>SUM(E5:E5)</f>
        <v>42.9942857142857</v>
      </c>
      <c r="F6" s="99">
        <f t="shared" ref="F6:N6" si="0">SUM(F5:F5)</f>
        <v>0</v>
      </c>
      <c r="G6" s="99">
        <f t="shared" si="0"/>
        <v>0</v>
      </c>
      <c r="H6" s="99">
        <f t="shared" si="0"/>
        <v>0</v>
      </c>
      <c r="I6" s="99">
        <f t="shared" si="0"/>
        <v>0</v>
      </c>
      <c r="J6" s="99">
        <f t="shared" si="0"/>
        <v>0</v>
      </c>
      <c r="K6" s="99">
        <f t="shared" si="0"/>
        <v>42.9942857142857</v>
      </c>
      <c r="L6" s="99">
        <f t="shared" si="0"/>
        <v>2.43363881401617</v>
      </c>
      <c r="M6" s="99">
        <f t="shared" si="0"/>
        <v>451.44</v>
      </c>
      <c r="N6" s="99">
        <f t="shared" si="0"/>
        <v>14551.1320754717</v>
      </c>
      <c r="O6" s="89">
        <f>N6</f>
        <v>14551.1320754717</v>
      </c>
    </row>
    <row r="8" spans="1:15">
      <c r="A8" s="92" t="s">
        <v>20</v>
      </c>
      <c r="B8" s="92"/>
      <c r="C8" s="92"/>
      <c r="D8" s="92"/>
      <c r="E8" s="92"/>
      <c r="F8" s="92"/>
      <c r="G8" s="92"/>
      <c r="H8" s="92"/>
      <c r="I8" s="92"/>
      <c r="J8" s="92"/>
      <c r="K8" s="92"/>
      <c r="L8" s="92"/>
      <c r="M8" s="92"/>
      <c r="N8" s="92"/>
      <c r="O8" s="121"/>
    </row>
    <row r="9" ht="28.5" spans="1:15">
      <c r="A9" s="93" t="s">
        <v>1</v>
      </c>
      <c r="B9" s="94" t="s">
        <v>2</v>
      </c>
      <c r="C9" s="93" t="s">
        <v>3</v>
      </c>
      <c r="D9" s="104" t="s">
        <v>4</v>
      </c>
      <c r="E9" s="105"/>
      <c r="F9" s="105"/>
      <c r="G9" s="105"/>
      <c r="H9" s="105"/>
      <c r="I9" s="105"/>
      <c r="J9" s="105"/>
      <c r="K9" s="105"/>
      <c r="L9" s="119"/>
      <c r="M9" s="117" t="s">
        <v>21</v>
      </c>
      <c r="N9" s="94" t="s">
        <v>22</v>
      </c>
      <c r="O9" s="121"/>
    </row>
    <row r="10" ht="42.75" spans="1:15">
      <c r="A10" s="97"/>
      <c r="B10" s="94" t="s">
        <v>23</v>
      </c>
      <c r="C10" s="98"/>
      <c r="D10" s="98" t="s">
        <v>8</v>
      </c>
      <c r="E10" s="94" t="s">
        <v>9</v>
      </c>
      <c r="F10" s="94" t="s">
        <v>10</v>
      </c>
      <c r="G10" s="94" t="s">
        <v>11</v>
      </c>
      <c r="H10" s="94" t="s">
        <v>12</v>
      </c>
      <c r="I10" s="94" t="s">
        <v>13</v>
      </c>
      <c r="J10" s="94" t="s">
        <v>14</v>
      </c>
      <c r="K10" s="119" t="s">
        <v>15</v>
      </c>
      <c r="L10" s="118" t="s">
        <v>24</v>
      </c>
      <c r="M10" s="122"/>
      <c r="N10" s="107" t="s">
        <v>25</v>
      </c>
      <c r="O10" s="121"/>
    </row>
    <row r="11" ht="20" customHeight="1" spans="1:15">
      <c r="A11" s="99" t="s">
        <v>18</v>
      </c>
      <c r="B11" s="99">
        <v>572157</v>
      </c>
      <c r="C11" s="99">
        <f>B11</f>
        <v>572157</v>
      </c>
      <c r="D11" s="8"/>
      <c r="E11" s="106">
        <f>C11/1.06*0.06*0.12/2</f>
        <v>1943.17471698113</v>
      </c>
      <c r="F11" s="99"/>
      <c r="G11"/>
      <c r="H11" s="99"/>
      <c r="I11" s="120"/>
      <c r="J11" s="99">
        <f>'8月支援人员费用明细表'!G18</f>
        <v>73115.6458064516</v>
      </c>
      <c r="K11" s="108">
        <f>SUM(E11:J11)</f>
        <v>75058.8205234328</v>
      </c>
      <c r="L11" s="108">
        <f>K11/1.06*0.06</f>
        <v>4248.61248245846</v>
      </c>
      <c r="M11" s="108">
        <f>C11*0.03</f>
        <v>17164.71</v>
      </c>
      <c r="N11" s="108">
        <f>C11-K11-L11-M11</f>
        <v>475684.856994109</v>
      </c>
      <c r="O11" s="121"/>
    </row>
    <row r="12" ht="20" customHeight="1" spans="1:15">
      <c r="A12" s="99" t="s">
        <v>19</v>
      </c>
      <c r="B12" s="99">
        <f t="shared" ref="B12:N12" si="1">SUM(B11:B11)</f>
        <v>572157</v>
      </c>
      <c r="C12" s="99">
        <f t="shared" si="1"/>
        <v>572157</v>
      </c>
      <c r="D12" s="99">
        <f t="shared" si="1"/>
        <v>0</v>
      </c>
      <c r="E12" s="99">
        <f t="shared" si="1"/>
        <v>1943.17471698113</v>
      </c>
      <c r="F12" s="99">
        <f t="shared" si="1"/>
        <v>0</v>
      </c>
      <c r="G12" s="99">
        <f t="shared" si="1"/>
        <v>0</v>
      </c>
      <c r="H12" s="99">
        <f t="shared" si="1"/>
        <v>0</v>
      </c>
      <c r="I12" s="99">
        <f t="shared" si="1"/>
        <v>0</v>
      </c>
      <c r="J12" s="99">
        <f t="shared" si="1"/>
        <v>73115.6458064516</v>
      </c>
      <c r="K12" s="99">
        <f t="shared" si="1"/>
        <v>75058.8205234328</v>
      </c>
      <c r="L12" s="99">
        <f t="shared" si="1"/>
        <v>4248.61248245846</v>
      </c>
      <c r="M12" s="99">
        <f t="shared" si="1"/>
        <v>17164.71</v>
      </c>
      <c r="N12" s="99">
        <f t="shared" si="1"/>
        <v>475684.856994109</v>
      </c>
      <c r="O12" s="89">
        <f>N12</f>
        <v>475684.856994109</v>
      </c>
    </row>
    <row r="15" spans="1:14">
      <c r="A15" s="92" t="s">
        <v>26</v>
      </c>
      <c r="B15" s="92"/>
      <c r="C15" s="92"/>
      <c r="D15" s="92"/>
      <c r="E15" s="92"/>
      <c r="F15" s="92"/>
      <c r="G15" s="92"/>
      <c r="H15" s="92"/>
      <c r="I15" s="92"/>
      <c r="J15" s="92"/>
      <c r="K15" s="92"/>
      <c r="L15" s="92"/>
      <c r="M15" s="92"/>
      <c r="N15" s="92"/>
    </row>
    <row r="16" ht="28.5" spans="1:14">
      <c r="A16" s="93" t="s">
        <v>1</v>
      </c>
      <c r="B16" s="94" t="s">
        <v>27</v>
      </c>
      <c r="C16" s="93" t="s">
        <v>3</v>
      </c>
      <c r="D16" s="94" t="s">
        <v>4</v>
      </c>
      <c r="E16" s="94"/>
      <c r="F16" s="94"/>
      <c r="G16" s="94"/>
      <c r="H16" s="94"/>
      <c r="I16" s="94"/>
      <c r="J16" s="94"/>
      <c r="K16" s="94"/>
      <c r="L16" s="94"/>
      <c r="M16" s="117" t="s">
        <v>5</v>
      </c>
      <c r="N16" s="94" t="s">
        <v>6</v>
      </c>
    </row>
    <row r="17" ht="42.75" spans="1:14">
      <c r="A17" s="97"/>
      <c r="B17" s="94" t="s">
        <v>28</v>
      </c>
      <c r="C17" s="98"/>
      <c r="D17" s="98" t="s">
        <v>8</v>
      </c>
      <c r="E17" s="94" t="s">
        <v>9</v>
      </c>
      <c r="F17" s="98" t="s">
        <v>10</v>
      </c>
      <c r="G17" s="98" t="s">
        <v>11</v>
      </c>
      <c r="H17" s="98" t="s">
        <v>12</v>
      </c>
      <c r="I17" s="98" t="s">
        <v>13</v>
      </c>
      <c r="J17" s="94" t="s">
        <v>14</v>
      </c>
      <c r="K17" s="122" t="s">
        <v>15</v>
      </c>
      <c r="L17" s="97" t="s">
        <v>24</v>
      </c>
      <c r="M17" s="122"/>
      <c r="N17" s="107" t="s">
        <v>17</v>
      </c>
    </row>
    <row r="18" ht="19" customHeight="1" spans="1:14">
      <c r="A18" s="99" t="s">
        <v>18</v>
      </c>
      <c r="B18" s="19">
        <v>295485.6</v>
      </c>
      <c r="C18" s="99">
        <f>B18</f>
        <v>295485.6</v>
      </c>
      <c r="E18" s="106">
        <f>C18/1.06*0.06*0.12/2</f>
        <v>1003.536</v>
      </c>
      <c r="F18" s="99"/>
      <c r="G18" s="99"/>
      <c r="H18" s="99"/>
      <c r="I18" s="120"/>
      <c r="J18" s="99"/>
      <c r="K18" s="108">
        <f>SUM(E18:J18)</f>
        <v>1003.536</v>
      </c>
      <c r="L18" s="108">
        <f>K18/1.06*0.06</f>
        <v>56.8039245283019</v>
      </c>
      <c r="M18" s="108">
        <f>C18*0.03</f>
        <v>8864.568</v>
      </c>
      <c r="N18" s="108">
        <f>C18-K18-L18-M18</f>
        <v>285560.692075472</v>
      </c>
    </row>
    <row r="19" ht="19" customHeight="1" spans="1:15">
      <c r="A19" s="99" t="s">
        <v>19</v>
      </c>
      <c r="B19" s="99">
        <f>SUM(B18:B18)</f>
        <v>295485.6</v>
      </c>
      <c r="C19" s="99">
        <f>SUM(C18:C18)</f>
        <v>295485.6</v>
      </c>
      <c r="D19" s="99">
        <f>SUM(D18:D18)</f>
        <v>0</v>
      </c>
      <c r="E19" s="99">
        <f>SUM(E18:E18)</f>
        <v>1003.536</v>
      </c>
      <c r="F19" s="99">
        <f>SUM(F18:F18)</f>
        <v>0</v>
      </c>
      <c r="G19" s="99">
        <f t="shared" ref="F19:N19" si="2">SUM(G18:G18)</f>
        <v>0</v>
      </c>
      <c r="H19" s="99">
        <f t="shared" si="2"/>
        <v>0</v>
      </c>
      <c r="I19" s="99">
        <f t="shared" si="2"/>
        <v>0</v>
      </c>
      <c r="J19" s="99">
        <f t="shared" si="2"/>
        <v>0</v>
      </c>
      <c r="K19" s="99">
        <f t="shared" si="2"/>
        <v>1003.536</v>
      </c>
      <c r="L19" s="99">
        <f t="shared" si="2"/>
        <v>56.8039245283019</v>
      </c>
      <c r="M19" s="99">
        <f t="shared" si="2"/>
        <v>8864.568</v>
      </c>
      <c r="N19" s="99">
        <f t="shared" si="2"/>
        <v>285560.692075472</v>
      </c>
      <c r="O19" s="89">
        <f>N19</f>
        <v>285560.692075472</v>
      </c>
    </row>
    <row r="22" ht="23" customHeight="1" spans="1:14">
      <c r="A22" s="92" t="s">
        <v>29</v>
      </c>
      <c r="B22" s="92"/>
      <c r="C22" s="92"/>
      <c r="D22" s="92"/>
      <c r="E22" s="92"/>
      <c r="F22" s="92"/>
      <c r="G22" s="92"/>
      <c r="H22" s="92"/>
      <c r="I22" s="92"/>
      <c r="J22" s="92"/>
      <c r="K22" s="92"/>
      <c r="L22" s="92"/>
      <c r="M22" s="92"/>
      <c r="N22" s="92"/>
    </row>
    <row r="23" ht="23" customHeight="1" spans="1:14">
      <c r="A23" s="93" t="s">
        <v>1</v>
      </c>
      <c r="B23" s="94" t="s">
        <v>27</v>
      </c>
      <c r="C23" s="93" t="s">
        <v>3</v>
      </c>
      <c r="D23" s="94" t="s">
        <v>4</v>
      </c>
      <c r="E23" s="94"/>
      <c r="F23" s="94"/>
      <c r="G23" s="94"/>
      <c r="H23" s="94"/>
      <c r="I23" s="94"/>
      <c r="J23" s="94"/>
      <c r="K23" s="94"/>
      <c r="L23" s="94"/>
      <c r="M23" s="117" t="s">
        <v>21</v>
      </c>
      <c r="N23" s="94" t="s">
        <v>22</v>
      </c>
    </row>
    <row r="24" ht="30" customHeight="1" spans="1:14">
      <c r="A24" s="97"/>
      <c r="B24" s="107" t="s">
        <v>30</v>
      </c>
      <c r="C24" s="98"/>
      <c r="D24" s="98" t="s">
        <v>8</v>
      </c>
      <c r="E24" s="94" t="s">
        <v>9</v>
      </c>
      <c r="F24" s="98" t="s">
        <v>10</v>
      </c>
      <c r="G24" s="98" t="s">
        <v>11</v>
      </c>
      <c r="H24" s="98" t="s">
        <v>12</v>
      </c>
      <c r="I24" s="98" t="s">
        <v>13</v>
      </c>
      <c r="J24" s="94" t="s">
        <v>14</v>
      </c>
      <c r="K24" s="122" t="s">
        <v>15</v>
      </c>
      <c r="L24" s="97" t="s">
        <v>24</v>
      </c>
      <c r="M24" s="122"/>
      <c r="N24" s="107" t="s">
        <v>17</v>
      </c>
    </row>
    <row r="25" ht="30" customHeight="1" spans="1:14">
      <c r="A25" s="99" t="s">
        <v>18</v>
      </c>
      <c r="B25" s="99">
        <v>310350.09</v>
      </c>
      <c r="C25" s="99">
        <f>B25</f>
        <v>310350.09</v>
      </c>
      <c r="E25" s="106">
        <f>C25/1.06*0.06*0.12/2</f>
        <v>1054.01917358491</v>
      </c>
      <c r="F25" s="99">
        <f>'9月日记账'!E39</f>
        <v>0</v>
      </c>
      <c r="G25" s="99"/>
      <c r="I25" s="120"/>
      <c r="J25" s="99"/>
      <c r="K25" s="108">
        <f>SUM(E25:J25)</f>
        <v>1054.01917358491</v>
      </c>
      <c r="L25" s="99">
        <f>K25/1.06*0.06</f>
        <v>59.6614626557496</v>
      </c>
      <c r="M25" s="108">
        <f>C25*0.03</f>
        <v>9310.5027</v>
      </c>
      <c r="N25" s="108">
        <f>C25-K25-L25-M25</f>
        <v>299925.906663759</v>
      </c>
    </row>
    <row r="26" spans="1:15">
      <c r="A26" s="99" t="s">
        <v>19</v>
      </c>
      <c r="B26" s="99">
        <f>SUM(B25:B25)</f>
        <v>310350.09</v>
      </c>
      <c r="C26" s="99">
        <f>SUM(C25:C25)</f>
        <v>310350.09</v>
      </c>
      <c r="D26" s="99">
        <f>SUM(D25:D25)</f>
        <v>0</v>
      </c>
      <c r="E26" s="99">
        <f>SUM(E25:E25)</f>
        <v>1054.01917358491</v>
      </c>
      <c r="F26" s="99">
        <f t="shared" ref="F26:N26" si="3">SUM(F25:F25)</f>
        <v>0</v>
      </c>
      <c r="G26" s="99">
        <f t="shared" si="3"/>
        <v>0</v>
      </c>
      <c r="H26" s="99">
        <f t="shared" si="3"/>
        <v>0</v>
      </c>
      <c r="I26" s="99">
        <f t="shared" si="3"/>
        <v>0</v>
      </c>
      <c r="J26" s="99">
        <f t="shared" si="3"/>
        <v>0</v>
      </c>
      <c r="K26" s="99">
        <f t="shared" si="3"/>
        <v>1054.01917358491</v>
      </c>
      <c r="L26" s="99">
        <f t="shared" si="3"/>
        <v>59.6614626557496</v>
      </c>
      <c r="M26" s="99">
        <f t="shared" si="3"/>
        <v>9310.5027</v>
      </c>
      <c r="N26" s="99">
        <f t="shared" si="3"/>
        <v>299925.906663759</v>
      </c>
      <c r="O26" s="89">
        <f>N26</f>
        <v>299925.906663759</v>
      </c>
    </row>
    <row r="28" ht="29" customHeight="1" spans="1:14">
      <c r="A28" s="92" t="s">
        <v>31</v>
      </c>
      <c r="B28" s="92"/>
      <c r="C28" s="92"/>
      <c r="D28" s="92"/>
      <c r="E28" s="92"/>
      <c r="F28" s="92"/>
      <c r="G28" s="92"/>
      <c r="H28" s="92"/>
      <c r="I28" s="92"/>
      <c r="J28" s="92"/>
      <c r="K28" s="92"/>
      <c r="L28" s="92"/>
      <c r="M28" s="92"/>
      <c r="N28" s="92"/>
    </row>
    <row r="29" ht="28.5" spans="1:14">
      <c r="A29" s="93" t="s">
        <v>1</v>
      </c>
      <c r="B29" s="94" t="s">
        <v>27</v>
      </c>
      <c r="C29" s="93" t="s">
        <v>3</v>
      </c>
      <c r="D29" s="104" t="s">
        <v>4</v>
      </c>
      <c r="E29" s="105"/>
      <c r="F29" s="105"/>
      <c r="G29" s="105"/>
      <c r="H29" s="105"/>
      <c r="I29" s="105"/>
      <c r="J29" s="105"/>
      <c r="K29" s="105"/>
      <c r="L29" s="119"/>
      <c r="M29" s="93" t="s">
        <v>32</v>
      </c>
      <c r="N29" s="94" t="s">
        <v>22</v>
      </c>
    </row>
    <row r="30" ht="34.95" customHeight="1" spans="1:14">
      <c r="A30" s="97"/>
      <c r="B30" s="94" t="s">
        <v>33</v>
      </c>
      <c r="C30" s="98"/>
      <c r="D30" s="98" t="s">
        <v>8</v>
      </c>
      <c r="E30" s="94" t="s">
        <v>9</v>
      </c>
      <c r="F30" s="94" t="s">
        <v>10</v>
      </c>
      <c r="G30" s="94" t="s">
        <v>11</v>
      </c>
      <c r="H30" s="94" t="s">
        <v>34</v>
      </c>
      <c r="I30" s="94" t="s">
        <v>13</v>
      </c>
      <c r="J30" s="94" t="s">
        <v>14</v>
      </c>
      <c r="K30" s="119" t="s">
        <v>15</v>
      </c>
      <c r="L30" s="118" t="s">
        <v>16</v>
      </c>
      <c r="M30" s="98"/>
      <c r="N30" s="107" t="s">
        <v>17</v>
      </c>
    </row>
    <row r="31" ht="31.8" customHeight="1" spans="1:14">
      <c r="A31" s="99" t="s">
        <v>18</v>
      </c>
      <c r="B31" s="108">
        <v>822822.37</v>
      </c>
      <c r="C31" s="108">
        <f>B31</f>
        <v>822822.37</v>
      </c>
      <c r="E31" s="109">
        <f>C31/1.06*0.06*0.12/2</f>
        <v>2794.49106792453</v>
      </c>
      <c r="F31" s="110">
        <v>2875</v>
      </c>
      <c r="G31" s="99"/>
      <c r="H31" s="99"/>
      <c r="I31" s="99">
        <v>463751.35</v>
      </c>
      <c r="J31" s="110"/>
      <c r="K31" s="123">
        <f>SUM(E31:J31)</f>
        <v>469420.841067925</v>
      </c>
      <c r="L31" s="99">
        <f>K31/1.06*0.06</f>
        <v>26570.9910038448</v>
      </c>
      <c r="M31" s="99">
        <f>C31*0.03</f>
        <v>24684.6711</v>
      </c>
      <c r="N31" s="99">
        <f>C31-K31-L31-M31</f>
        <v>302145.866828231</v>
      </c>
    </row>
    <row r="32" ht="31.8" customHeight="1" spans="1:15">
      <c r="A32" s="111" t="s">
        <v>19</v>
      </c>
      <c r="B32" s="108">
        <f t="shared" ref="B32:G32" si="4">SUM(B31:B31)</f>
        <v>822822.37</v>
      </c>
      <c r="C32" s="108">
        <f t="shared" si="4"/>
        <v>822822.37</v>
      </c>
      <c r="D32" s="108">
        <f t="shared" si="4"/>
        <v>0</v>
      </c>
      <c r="E32" s="108">
        <f t="shared" si="4"/>
        <v>2794.49106792453</v>
      </c>
      <c r="F32" s="108">
        <f t="shared" si="4"/>
        <v>2875</v>
      </c>
      <c r="G32" s="108">
        <f t="shared" si="4"/>
        <v>0</v>
      </c>
      <c r="H32" s="108">
        <f t="shared" ref="F32:M32" si="5">SUM(H31:H31)</f>
        <v>0</v>
      </c>
      <c r="I32" s="124">
        <f t="shared" si="5"/>
        <v>463751.35</v>
      </c>
      <c r="J32" s="108">
        <f t="shared" si="5"/>
        <v>0</v>
      </c>
      <c r="K32" s="125">
        <f t="shared" si="5"/>
        <v>469420.841067925</v>
      </c>
      <c r="L32" s="125">
        <f t="shared" si="5"/>
        <v>26570.9910038448</v>
      </c>
      <c r="M32" s="125">
        <f t="shared" si="5"/>
        <v>24684.6711</v>
      </c>
      <c r="N32" s="125">
        <f>C32-K32-L32-M32</f>
        <v>302145.866828231</v>
      </c>
      <c r="O32" s="89">
        <f>N32</f>
        <v>302145.866828231</v>
      </c>
    </row>
    <row r="33" ht="31.8" customHeight="1"/>
    <row r="34" customFormat="1" ht="31.8" customHeight="1" spans="1:15">
      <c r="A34" s="92" t="s">
        <v>35</v>
      </c>
      <c r="B34" s="92"/>
      <c r="C34" s="92"/>
      <c r="D34" s="92"/>
      <c r="E34" s="92"/>
      <c r="F34" s="92"/>
      <c r="G34" s="92"/>
      <c r="H34" s="92"/>
      <c r="I34" s="92"/>
      <c r="J34" s="92"/>
      <c r="K34" s="92"/>
      <c r="L34" s="92"/>
      <c r="M34" s="92"/>
      <c r="N34" s="92"/>
      <c r="O34" s="121"/>
    </row>
    <row r="35" customFormat="1" ht="31.8" customHeight="1" spans="1:15">
      <c r="A35" s="93" t="s">
        <v>1</v>
      </c>
      <c r="B35" s="94" t="s">
        <v>27</v>
      </c>
      <c r="C35" s="93" t="s">
        <v>3</v>
      </c>
      <c r="D35" s="104" t="s">
        <v>4</v>
      </c>
      <c r="E35" s="105"/>
      <c r="F35" s="105"/>
      <c r="G35" s="105"/>
      <c r="H35" s="105"/>
      <c r="I35" s="105"/>
      <c r="J35" s="105"/>
      <c r="K35" s="105"/>
      <c r="L35" s="119"/>
      <c r="M35" s="117" t="s">
        <v>21</v>
      </c>
      <c r="N35" s="94" t="s">
        <v>22</v>
      </c>
      <c r="O35" s="121"/>
    </row>
    <row r="36" customFormat="1" ht="31.8" customHeight="1" spans="1:15">
      <c r="A36" s="97"/>
      <c r="B36" s="107" t="s">
        <v>36</v>
      </c>
      <c r="C36" s="98"/>
      <c r="D36" s="98" t="s">
        <v>37</v>
      </c>
      <c r="E36" s="94" t="s">
        <v>9</v>
      </c>
      <c r="F36" s="94" t="s">
        <v>10</v>
      </c>
      <c r="G36" s="94" t="s">
        <v>11</v>
      </c>
      <c r="H36" s="94" t="s">
        <v>12</v>
      </c>
      <c r="I36" s="94" t="s">
        <v>13</v>
      </c>
      <c r="J36" s="94" t="s">
        <v>14</v>
      </c>
      <c r="K36" s="119" t="s">
        <v>15</v>
      </c>
      <c r="L36" s="118" t="s">
        <v>24</v>
      </c>
      <c r="M36" s="122"/>
      <c r="N36" s="107" t="s">
        <v>38</v>
      </c>
      <c r="O36" s="121"/>
    </row>
    <row r="37" customFormat="1" ht="31.8" customHeight="1" spans="1:15">
      <c r="A37" s="99" t="s">
        <v>18</v>
      </c>
      <c r="B37" s="99">
        <v>185944.6</v>
      </c>
      <c r="C37" s="99">
        <f>B37</f>
        <v>185944.6</v>
      </c>
      <c r="D37" s="8">
        <f>6125.81+135948.05</f>
        <v>142073.86</v>
      </c>
      <c r="E37" s="103">
        <f>(C37-D37)/1.05*0.05*0.12/2</f>
        <v>125.344971428571</v>
      </c>
      <c r="F37" s="99"/>
      <c r="H37" s="99"/>
      <c r="I37" s="120">
        <v>145116.12</v>
      </c>
      <c r="J37" s="99"/>
      <c r="K37" s="108">
        <f>SUM(E37:J37)</f>
        <v>145241.464971429</v>
      </c>
      <c r="L37" s="108">
        <f>K37/1.05*0.05</f>
        <v>6916.26023673469</v>
      </c>
      <c r="M37" s="108">
        <f>C37*0.03</f>
        <v>5578.338</v>
      </c>
      <c r="N37" s="108">
        <f>C37-K37-L37-M37</f>
        <v>28208.5367918368</v>
      </c>
      <c r="O37" s="121"/>
    </row>
    <row r="38" customFormat="1" ht="31.8" customHeight="1" spans="1:15">
      <c r="A38" s="99" t="s">
        <v>19</v>
      </c>
      <c r="B38" s="99"/>
      <c r="C38" s="99">
        <f>SUM(C37:C37)</f>
        <v>185944.6</v>
      </c>
      <c r="D38" s="99">
        <f>SUM(D37:D37)</f>
        <v>142073.86</v>
      </c>
      <c r="E38" s="99">
        <f>SUM(E37:E37)</f>
        <v>125.344971428571</v>
      </c>
      <c r="F38" s="99">
        <f>SUM(F37:F37)</f>
        <v>0</v>
      </c>
      <c r="G38" s="99">
        <f t="shared" ref="F38:N38" si="6">SUM(G37:G37)</f>
        <v>0</v>
      </c>
      <c r="H38" s="99">
        <f t="shared" si="6"/>
        <v>0</v>
      </c>
      <c r="I38" s="99">
        <f t="shared" si="6"/>
        <v>145116.12</v>
      </c>
      <c r="J38" s="99">
        <f t="shared" si="6"/>
        <v>0</v>
      </c>
      <c r="K38" s="99">
        <f t="shared" si="6"/>
        <v>145241.464971429</v>
      </c>
      <c r="L38" s="99">
        <f t="shared" si="6"/>
        <v>6916.26023673469</v>
      </c>
      <c r="M38" s="99">
        <f t="shared" si="6"/>
        <v>5578.338</v>
      </c>
      <c r="N38" s="99">
        <f t="shared" si="6"/>
        <v>28208.5367918368</v>
      </c>
      <c r="O38" s="89">
        <f>N38</f>
        <v>28208.5367918368</v>
      </c>
    </row>
    <row r="39" customFormat="1" ht="31.8" customHeight="1" spans="1:15">
      <c r="A39" s="87"/>
      <c r="B39" s="87"/>
      <c r="C39" s="87"/>
      <c r="D39" s="87"/>
      <c r="E39" s="87"/>
      <c r="F39" s="87"/>
      <c r="G39" s="87"/>
      <c r="H39" s="87"/>
      <c r="I39" s="88"/>
      <c r="J39" s="87"/>
      <c r="K39" s="91"/>
      <c r="L39" s="91"/>
      <c r="M39" s="91"/>
      <c r="N39" s="91"/>
      <c r="O39" s="121"/>
    </row>
    <row r="40" customFormat="1" ht="22" customHeight="1" spans="1:15">
      <c r="A40" s="92" t="s">
        <v>39</v>
      </c>
      <c r="B40" s="92"/>
      <c r="C40" s="92"/>
      <c r="D40" s="92"/>
      <c r="E40" s="92"/>
      <c r="F40" s="92"/>
      <c r="G40" s="92"/>
      <c r="H40" s="92"/>
      <c r="I40" s="92"/>
      <c r="J40" s="92"/>
      <c r="K40" s="92"/>
      <c r="L40" s="92"/>
      <c r="M40" s="92"/>
      <c r="N40" s="92"/>
      <c r="O40" s="121"/>
    </row>
    <row r="41" customFormat="1" ht="22" customHeight="1" spans="1:15">
      <c r="A41" s="93" t="s">
        <v>1</v>
      </c>
      <c r="B41" s="94" t="s">
        <v>27</v>
      </c>
      <c r="C41" s="93" t="s">
        <v>3</v>
      </c>
      <c r="D41" s="94" t="s">
        <v>4</v>
      </c>
      <c r="E41" s="94"/>
      <c r="F41" s="94"/>
      <c r="G41" s="94"/>
      <c r="H41" s="94"/>
      <c r="I41" s="94"/>
      <c r="J41" s="94"/>
      <c r="K41" s="94"/>
      <c r="L41" s="94"/>
      <c r="M41" s="117" t="s">
        <v>21</v>
      </c>
      <c r="N41" s="94" t="s">
        <v>22</v>
      </c>
      <c r="O41" s="121"/>
    </row>
    <row r="42" customFormat="1" ht="22" customHeight="1" spans="1:15">
      <c r="A42" s="97"/>
      <c r="B42" s="107" t="s">
        <v>40</v>
      </c>
      <c r="C42" s="98"/>
      <c r="D42" s="98" t="s">
        <v>8</v>
      </c>
      <c r="E42" s="94" t="s">
        <v>9</v>
      </c>
      <c r="F42" s="98" t="s">
        <v>10</v>
      </c>
      <c r="G42" s="98" t="s">
        <v>11</v>
      </c>
      <c r="H42" s="98" t="s">
        <v>12</v>
      </c>
      <c r="I42" s="98" t="s">
        <v>13</v>
      </c>
      <c r="J42" s="94" t="s">
        <v>14</v>
      </c>
      <c r="K42" s="122" t="s">
        <v>15</v>
      </c>
      <c r="L42" s="97" t="s">
        <v>24</v>
      </c>
      <c r="M42" s="122"/>
      <c r="N42" s="107" t="s">
        <v>17</v>
      </c>
      <c r="O42" s="121"/>
    </row>
    <row r="43" customFormat="1" ht="22" customHeight="1" spans="1:15">
      <c r="A43" s="99" t="s">
        <v>18</v>
      </c>
      <c r="B43" s="112">
        <v>180000</v>
      </c>
      <c r="C43" s="112">
        <f>B43</f>
        <v>180000</v>
      </c>
      <c r="E43" s="109">
        <f>C43/1.06*0.06*0.12/2</f>
        <v>611.320754716981</v>
      </c>
      <c r="F43" s="99"/>
      <c r="G43" s="99"/>
      <c r="H43" s="99"/>
      <c r="I43" s="120"/>
      <c r="J43" s="99"/>
      <c r="K43" s="108">
        <f>SUM(E43:J43)</f>
        <v>611.320754716981</v>
      </c>
      <c r="L43" s="108">
        <f>K43/1.06*0.06</f>
        <v>34.6030615877536</v>
      </c>
      <c r="M43" s="108">
        <f>C43*0.03</f>
        <v>5400</v>
      </c>
      <c r="N43" s="108">
        <f>C43-K43-L43-M43</f>
        <v>173954.076183695</v>
      </c>
      <c r="O43" s="121"/>
    </row>
    <row r="44" customFormat="1" ht="22" customHeight="1" spans="1:15">
      <c r="A44" s="99" t="s">
        <v>19</v>
      </c>
      <c r="B44" s="99">
        <f t="shared" ref="B44:N44" si="7">SUM(B43:B43)</f>
        <v>180000</v>
      </c>
      <c r="C44" s="99">
        <f t="shared" si="7"/>
        <v>180000</v>
      </c>
      <c r="D44" s="99">
        <f t="shared" si="7"/>
        <v>0</v>
      </c>
      <c r="E44" s="99">
        <f t="shared" si="7"/>
        <v>611.320754716981</v>
      </c>
      <c r="F44" s="99">
        <f t="shared" si="7"/>
        <v>0</v>
      </c>
      <c r="G44" s="99">
        <f t="shared" si="7"/>
        <v>0</v>
      </c>
      <c r="H44" s="99">
        <f t="shared" si="7"/>
        <v>0</v>
      </c>
      <c r="I44" s="99">
        <f t="shared" si="7"/>
        <v>0</v>
      </c>
      <c r="J44" s="99">
        <f t="shared" si="7"/>
        <v>0</v>
      </c>
      <c r="K44" s="99">
        <f t="shared" si="7"/>
        <v>611.320754716981</v>
      </c>
      <c r="L44" s="99">
        <f t="shared" si="7"/>
        <v>34.6030615877536</v>
      </c>
      <c r="M44" s="99">
        <f t="shared" si="7"/>
        <v>5400</v>
      </c>
      <c r="N44" s="99">
        <f t="shared" si="7"/>
        <v>173954.076183695</v>
      </c>
      <c r="O44" s="121">
        <f>N44</f>
        <v>173954.076183695</v>
      </c>
    </row>
    <row r="45" customFormat="1" ht="31.8" customHeight="1" spans="1:15">
      <c r="A45" s="87"/>
      <c r="B45" s="87"/>
      <c r="C45" s="87"/>
      <c r="D45" s="87"/>
      <c r="E45" s="87"/>
      <c r="F45" s="87"/>
      <c r="G45" s="87"/>
      <c r="H45" s="87"/>
      <c r="I45" s="88"/>
      <c r="J45" s="87"/>
      <c r="K45" s="91"/>
      <c r="L45" s="91"/>
      <c r="M45" s="91"/>
      <c r="N45" s="91"/>
      <c r="O45" s="121"/>
    </row>
    <row r="46" customFormat="1" ht="22" customHeight="1" spans="1:15">
      <c r="A46" s="92" t="s">
        <v>41</v>
      </c>
      <c r="B46" s="92"/>
      <c r="C46" s="92"/>
      <c r="D46" s="92"/>
      <c r="E46" s="92"/>
      <c r="F46" s="92"/>
      <c r="G46" s="92"/>
      <c r="H46" s="92"/>
      <c r="I46" s="92"/>
      <c r="J46" s="92"/>
      <c r="K46" s="92"/>
      <c r="L46" s="92"/>
      <c r="M46" s="92"/>
      <c r="N46" s="92"/>
      <c r="O46" s="121"/>
    </row>
    <row r="47" customFormat="1" ht="22" customHeight="1" spans="1:15">
      <c r="A47" s="93" t="s">
        <v>1</v>
      </c>
      <c r="B47" s="94" t="s">
        <v>27</v>
      </c>
      <c r="C47" s="93" t="s">
        <v>3</v>
      </c>
      <c r="D47" s="94" t="s">
        <v>4</v>
      </c>
      <c r="E47" s="94"/>
      <c r="F47" s="94"/>
      <c r="G47" s="94"/>
      <c r="H47" s="94"/>
      <c r="I47" s="94"/>
      <c r="J47" s="94"/>
      <c r="K47" s="94"/>
      <c r="L47" s="94"/>
      <c r="M47" s="117" t="s">
        <v>21</v>
      </c>
      <c r="N47" s="94" t="s">
        <v>22</v>
      </c>
      <c r="O47" s="121"/>
    </row>
    <row r="48" customFormat="1" ht="22" customHeight="1" spans="1:15">
      <c r="A48" s="97"/>
      <c r="B48" s="107" t="s">
        <v>42</v>
      </c>
      <c r="C48" s="98"/>
      <c r="D48" s="98" t="s">
        <v>8</v>
      </c>
      <c r="E48" s="94" t="s">
        <v>9</v>
      </c>
      <c r="F48" s="98" t="s">
        <v>10</v>
      </c>
      <c r="G48" s="98" t="s">
        <v>11</v>
      </c>
      <c r="H48" s="98" t="s">
        <v>12</v>
      </c>
      <c r="I48" s="98" t="s">
        <v>13</v>
      </c>
      <c r="J48" s="94" t="s">
        <v>14</v>
      </c>
      <c r="K48" s="122" t="s">
        <v>15</v>
      </c>
      <c r="L48" s="97" t="s">
        <v>24</v>
      </c>
      <c r="M48" s="122"/>
      <c r="N48" s="107" t="s">
        <v>17</v>
      </c>
      <c r="O48" s="121"/>
    </row>
    <row r="49" customFormat="1" ht="22" customHeight="1" spans="1:15">
      <c r="A49" s="99" t="s">
        <v>18</v>
      </c>
      <c r="B49" s="112">
        <v>412542.16</v>
      </c>
      <c r="C49" s="112">
        <f>B49</f>
        <v>412542.16</v>
      </c>
      <c r="E49" s="109">
        <f>C49/1.06*0.06*0.12/2</f>
        <v>1401.08658113208</v>
      </c>
      <c r="F49" s="99"/>
      <c r="G49" s="99"/>
      <c r="H49" s="99"/>
      <c r="I49" s="120"/>
      <c r="J49" s="99"/>
      <c r="K49" s="108">
        <f>SUM(E49:J49)</f>
        <v>1401.08658113208</v>
      </c>
      <c r="L49" s="108">
        <f>K49/1.06*0.06</f>
        <v>79.3067876112495</v>
      </c>
      <c r="M49" s="108">
        <f>C49*0.03</f>
        <v>12376.2648</v>
      </c>
      <c r="N49" s="108">
        <f>C49-K49-L49-M49</f>
        <v>398685.501831257</v>
      </c>
      <c r="O49" s="121"/>
    </row>
    <row r="50" customFormat="1" ht="22" customHeight="1" spans="1:15">
      <c r="A50" s="99" t="s">
        <v>19</v>
      </c>
      <c r="B50" s="99">
        <f t="shared" ref="B50:G50" si="8">SUM(B49:B49)</f>
        <v>412542.16</v>
      </c>
      <c r="C50" s="99">
        <f t="shared" si="8"/>
        <v>412542.16</v>
      </c>
      <c r="D50" s="99">
        <f t="shared" si="8"/>
        <v>0</v>
      </c>
      <c r="E50" s="99">
        <f t="shared" si="8"/>
        <v>1401.08658113208</v>
      </c>
      <c r="F50" s="99">
        <f t="shared" si="8"/>
        <v>0</v>
      </c>
      <c r="G50" s="99">
        <f t="shared" si="8"/>
        <v>0</v>
      </c>
      <c r="H50" s="99">
        <f t="shared" ref="F50:N50" si="9">SUM(H49:H49)</f>
        <v>0</v>
      </c>
      <c r="I50" s="99">
        <f t="shared" si="9"/>
        <v>0</v>
      </c>
      <c r="J50" s="99">
        <f t="shared" si="9"/>
        <v>0</v>
      </c>
      <c r="K50" s="99">
        <f t="shared" si="9"/>
        <v>1401.08658113208</v>
      </c>
      <c r="L50" s="99">
        <f t="shared" si="9"/>
        <v>79.3067876112495</v>
      </c>
      <c r="M50" s="99">
        <f t="shared" si="9"/>
        <v>12376.2648</v>
      </c>
      <c r="N50" s="99">
        <f t="shared" si="9"/>
        <v>398685.501831257</v>
      </c>
      <c r="O50" s="121">
        <f>N50</f>
        <v>398685.501831257</v>
      </c>
    </row>
    <row r="51" customFormat="1" ht="31.8" customHeight="1" spans="1:15">
      <c r="A51" s="87"/>
      <c r="B51" s="87"/>
      <c r="C51" s="87"/>
      <c r="D51" s="87"/>
      <c r="E51" s="87"/>
      <c r="F51" s="87"/>
      <c r="G51" s="87"/>
      <c r="H51" s="87"/>
      <c r="I51" s="87"/>
      <c r="J51" s="87"/>
      <c r="K51" s="87"/>
      <c r="L51" s="87"/>
      <c r="M51" s="87"/>
      <c r="N51" s="87"/>
      <c r="O51" s="121"/>
    </row>
    <row r="52" ht="22" customHeight="1" spans="1:14">
      <c r="A52" s="92" t="s">
        <v>43</v>
      </c>
      <c r="B52" s="92"/>
      <c r="C52" s="92"/>
      <c r="D52" s="92"/>
      <c r="E52" s="92"/>
      <c r="F52" s="92"/>
      <c r="G52" s="92"/>
      <c r="H52" s="92"/>
      <c r="I52" s="92"/>
      <c r="J52" s="92"/>
      <c r="K52" s="92"/>
      <c r="L52" s="92"/>
      <c r="M52" s="92"/>
      <c r="N52" s="92"/>
    </row>
    <row r="53" ht="28.5" spans="1:14">
      <c r="A53" s="93" t="s">
        <v>1</v>
      </c>
      <c r="B53" s="94" t="s">
        <v>27</v>
      </c>
      <c r="C53" s="93" t="s">
        <v>3</v>
      </c>
      <c r="D53" s="94" t="s">
        <v>4</v>
      </c>
      <c r="E53" s="94"/>
      <c r="F53" s="94"/>
      <c r="G53" s="94"/>
      <c r="H53" s="94"/>
      <c r="I53" s="94"/>
      <c r="J53" s="94"/>
      <c r="K53" s="94"/>
      <c r="L53" s="94"/>
      <c r="M53" s="117" t="s">
        <v>21</v>
      </c>
      <c r="N53" s="94" t="s">
        <v>22</v>
      </c>
    </row>
    <row r="54" ht="42.75" spans="1:14">
      <c r="A54" s="97"/>
      <c r="B54" s="107" t="s">
        <v>44</v>
      </c>
      <c r="C54" s="98"/>
      <c r="D54" s="98" t="s">
        <v>8</v>
      </c>
      <c r="E54" s="94" t="s">
        <v>9</v>
      </c>
      <c r="F54" s="98" t="s">
        <v>10</v>
      </c>
      <c r="G54" s="98" t="s">
        <v>11</v>
      </c>
      <c r="H54" s="98" t="s">
        <v>12</v>
      </c>
      <c r="I54" s="98" t="s">
        <v>13</v>
      </c>
      <c r="J54" s="94" t="s">
        <v>14</v>
      </c>
      <c r="K54" s="122" t="s">
        <v>15</v>
      </c>
      <c r="L54" s="97" t="s">
        <v>24</v>
      </c>
      <c r="M54" s="122"/>
      <c r="N54" s="107" t="s">
        <v>17</v>
      </c>
    </row>
    <row r="55" ht="21" customHeight="1" spans="1:14">
      <c r="A55" s="99" t="s">
        <v>18</v>
      </c>
      <c r="B55" s="112">
        <v>96210</v>
      </c>
      <c r="C55" s="112">
        <f>B55</f>
        <v>96210</v>
      </c>
      <c r="E55" s="106">
        <f>C55/1.06*0.06*0.12/2</f>
        <v>326.750943396226</v>
      </c>
      <c r="F55" s="99"/>
      <c r="G55" s="99"/>
      <c r="H55" s="99"/>
      <c r="I55" s="120"/>
      <c r="J55" s="99"/>
      <c r="K55" s="108">
        <f>SUM(E55:J55)</f>
        <v>326.750943396226</v>
      </c>
      <c r="L55" s="108">
        <f>K55/1.06*0.06</f>
        <v>18.4953364186543</v>
      </c>
      <c r="M55" s="108">
        <f>C55*0.03</f>
        <v>2886.3</v>
      </c>
      <c r="N55" s="108">
        <f>C55-K55-L55-M55</f>
        <v>92978.4537201851</v>
      </c>
    </row>
    <row r="56" ht="21" customHeight="1" spans="1:15">
      <c r="A56" s="99" t="s">
        <v>19</v>
      </c>
      <c r="B56" s="99">
        <f>SUM(B55:B55)</f>
        <v>96210</v>
      </c>
      <c r="C56" s="99">
        <f>SUM(C55:C55)</f>
        <v>96210</v>
      </c>
      <c r="D56" s="99">
        <f>SUM(D55:D55)</f>
        <v>0</v>
      </c>
      <c r="E56" s="99">
        <f>SUM(E55:E55)</f>
        <v>326.750943396226</v>
      </c>
      <c r="F56" s="99">
        <f t="shared" ref="F56:N56" si="10">SUM(F55:F55)</f>
        <v>0</v>
      </c>
      <c r="G56" s="99">
        <f t="shared" si="10"/>
        <v>0</v>
      </c>
      <c r="H56" s="99">
        <f t="shared" si="10"/>
        <v>0</v>
      </c>
      <c r="I56" s="99">
        <f t="shared" si="10"/>
        <v>0</v>
      </c>
      <c r="J56" s="99">
        <f t="shared" si="10"/>
        <v>0</v>
      </c>
      <c r="K56" s="99">
        <f t="shared" si="10"/>
        <v>326.750943396226</v>
      </c>
      <c r="L56" s="99">
        <f t="shared" si="10"/>
        <v>18.4953364186543</v>
      </c>
      <c r="M56" s="99">
        <f t="shared" si="10"/>
        <v>2886.3</v>
      </c>
      <c r="N56" s="99">
        <f t="shared" si="10"/>
        <v>92978.4537201851</v>
      </c>
      <c r="O56" s="89">
        <f>N56</f>
        <v>92978.4537201851</v>
      </c>
    </row>
    <row r="57" customFormat="1" ht="17" customHeight="1" spans="15:15">
      <c r="O57" s="121"/>
    </row>
    <row r="58" s="86" customFormat="1" ht="40" customHeight="1" spans="1:15">
      <c r="A58" s="113" t="s">
        <v>45</v>
      </c>
      <c r="B58" s="113"/>
      <c r="C58" s="113">
        <f>C5+C18+C25+C31+C37+C55+C49+C11+C43</f>
        <v>3601078.51</v>
      </c>
      <c r="D58" s="113">
        <f t="shared" ref="D58:N58" si="11">D5+D18+D25+D31+D37+D55+D49+D11+D43</f>
        <v>157121.86</v>
      </c>
      <c r="E58" s="113">
        <f t="shared" si="11"/>
        <v>9302.71849487871</v>
      </c>
      <c r="F58" s="113">
        <f t="shared" si="11"/>
        <v>2875</v>
      </c>
      <c r="G58" s="113">
        <f t="shared" si="11"/>
        <v>0</v>
      </c>
      <c r="H58" s="113">
        <f t="shared" si="11"/>
        <v>0</v>
      </c>
      <c r="I58" s="113">
        <f t="shared" si="11"/>
        <v>608867.47</v>
      </c>
      <c r="J58" s="113">
        <f t="shared" si="11"/>
        <v>73115.6458064516</v>
      </c>
      <c r="K58" s="113">
        <f t="shared" si="11"/>
        <v>694160.834301331</v>
      </c>
      <c r="L58" s="113">
        <f t="shared" si="11"/>
        <v>37987.1679346537</v>
      </c>
      <c r="M58" s="113">
        <f t="shared" si="11"/>
        <v>86716.7946</v>
      </c>
      <c r="N58" s="113">
        <f t="shared" si="11"/>
        <v>2071695.02316402</v>
      </c>
      <c r="O58" s="89"/>
    </row>
    <row r="59" ht="55" customHeight="1" spans="1:12">
      <c r="A59" s="114" t="s">
        <v>46</v>
      </c>
      <c r="B59" s="114"/>
      <c r="C59" s="114"/>
      <c r="D59" s="114"/>
      <c r="E59" s="114"/>
      <c r="F59" s="114"/>
      <c r="G59" s="114"/>
      <c r="H59" s="114"/>
      <c r="I59" s="114"/>
      <c r="K59" s="99" t="s">
        <v>47</v>
      </c>
      <c r="L59" s="99">
        <f>D6+C19+C26+C32+C38+C56+C50+C11+C44</f>
        <v>2890559.82</v>
      </c>
    </row>
    <row r="60" spans="1:12">
      <c r="A60" s="115" t="s">
        <v>48</v>
      </c>
      <c r="B60" s="115"/>
      <c r="C60" s="115"/>
      <c r="D60" s="115"/>
      <c r="E60" s="115"/>
      <c r="F60" s="115"/>
      <c r="G60" s="115"/>
      <c r="K60" s="99" t="s">
        <v>49</v>
      </c>
      <c r="L60" s="99">
        <f>K58+L58+M58</f>
        <v>818864.796835984</v>
      </c>
    </row>
    <row r="61" spans="1:12">
      <c r="A61" s="115"/>
      <c r="B61" s="115"/>
      <c r="C61" s="115"/>
      <c r="D61" s="115"/>
      <c r="E61" s="115"/>
      <c r="F61" s="115"/>
      <c r="G61" s="115"/>
      <c r="K61" s="99"/>
      <c r="L61" s="99"/>
    </row>
    <row r="62" ht="28" customHeight="1" spans="1:12">
      <c r="A62" s="115" t="s">
        <v>50</v>
      </c>
      <c r="B62" s="115"/>
      <c r="C62" s="115"/>
      <c r="D62" s="115"/>
      <c r="E62" s="115"/>
      <c r="F62" s="115"/>
      <c r="G62" s="115"/>
      <c r="K62" s="99"/>
      <c r="L62" s="99"/>
    </row>
    <row r="66" hidden="1" spans="1:7">
      <c r="A66" s="126" t="s">
        <v>51</v>
      </c>
      <c r="B66" s="126"/>
      <c r="C66" s="126"/>
      <c r="D66" s="126"/>
      <c r="E66" s="126"/>
      <c r="F66" s="126"/>
      <c r="G66" s="126"/>
    </row>
    <row r="67" ht="33" hidden="1" customHeight="1" spans="1:14">
      <c r="A67" s="92" t="s">
        <v>52</v>
      </c>
      <c r="B67" s="92"/>
      <c r="C67" s="92"/>
      <c r="D67" s="92"/>
      <c r="E67" s="92"/>
      <c r="F67" s="92"/>
      <c r="G67" s="92"/>
      <c r="H67" s="92"/>
      <c r="I67" s="92"/>
      <c r="J67" s="92"/>
      <c r="K67" s="92"/>
      <c r="L67" s="92"/>
      <c r="M67" s="92"/>
      <c r="N67" s="92"/>
    </row>
    <row r="68" ht="33" hidden="1" customHeight="1" spans="1:14">
      <c r="A68" s="93" t="s">
        <v>1</v>
      </c>
      <c r="B68" s="94" t="s">
        <v>2</v>
      </c>
      <c r="C68" s="93" t="s">
        <v>3</v>
      </c>
      <c r="D68" s="104" t="s">
        <v>4</v>
      </c>
      <c r="E68" s="105"/>
      <c r="F68" s="105"/>
      <c r="G68" s="105"/>
      <c r="H68" s="105"/>
      <c r="I68" s="105"/>
      <c r="J68" s="105"/>
      <c r="K68" s="105"/>
      <c r="L68" s="119"/>
      <c r="M68" s="117" t="s">
        <v>5</v>
      </c>
      <c r="N68" s="94" t="s">
        <v>6</v>
      </c>
    </row>
    <row r="69" ht="33" hidden="1" customHeight="1" spans="1:14">
      <c r="A69" s="97"/>
      <c r="B69" s="107" t="s">
        <v>23</v>
      </c>
      <c r="C69" s="98"/>
      <c r="D69" s="104" t="s">
        <v>9</v>
      </c>
      <c r="E69" s="105"/>
      <c r="F69" s="94" t="s">
        <v>10</v>
      </c>
      <c r="G69" s="94" t="s">
        <v>11</v>
      </c>
      <c r="H69" s="94" t="s">
        <v>12</v>
      </c>
      <c r="I69" s="94" t="s">
        <v>13</v>
      </c>
      <c r="J69" s="94" t="s">
        <v>14</v>
      </c>
      <c r="K69" s="119" t="s">
        <v>15</v>
      </c>
      <c r="L69" s="118" t="s">
        <v>24</v>
      </c>
      <c r="M69" s="122"/>
      <c r="N69" s="107" t="s">
        <v>17</v>
      </c>
    </row>
    <row r="70" ht="33" hidden="1" customHeight="1" spans="1:14">
      <c r="A70" s="99" t="s">
        <v>53</v>
      </c>
      <c r="B70" s="99">
        <v>0</v>
      </c>
      <c r="C70" s="99">
        <v>0</v>
      </c>
      <c r="D70" s="103">
        <f>C70/1.06*0.06*0.12/2</f>
        <v>0</v>
      </c>
      <c r="E70" s="127"/>
      <c r="F70" s="99"/>
      <c r="G70" s="99">
        <v>38160</v>
      </c>
      <c r="H70" s="99"/>
      <c r="I70" s="120"/>
      <c r="J70" s="99"/>
      <c r="K70" s="108">
        <f>SUM(D70:J70)</f>
        <v>38160</v>
      </c>
      <c r="L70" s="108">
        <f>K70/1.06*0.06</f>
        <v>2160</v>
      </c>
      <c r="M70" s="108">
        <f>C70*0.03</f>
        <v>0</v>
      </c>
      <c r="N70" s="108">
        <f>C70-K70-L70-M70</f>
        <v>-40320</v>
      </c>
    </row>
    <row r="71" ht="33" hidden="1" customHeight="1" spans="1:14">
      <c r="A71" s="99" t="s">
        <v>19</v>
      </c>
      <c r="B71" s="99">
        <f>SUM(B70:B70)</f>
        <v>0</v>
      </c>
      <c r="C71" s="99">
        <f>SUM(C70:C70)</f>
        <v>0</v>
      </c>
      <c r="D71" s="103">
        <f>SUM(D70:D70)</f>
        <v>0</v>
      </c>
      <c r="E71" s="127"/>
      <c r="F71" s="99">
        <f t="shared" ref="F71:N71" si="12">SUM(F70:F70)</f>
        <v>0</v>
      </c>
      <c r="G71" s="99">
        <f t="shared" si="12"/>
        <v>38160</v>
      </c>
      <c r="H71" s="99">
        <f t="shared" si="12"/>
        <v>0</v>
      </c>
      <c r="I71" s="99">
        <f t="shared" si="12"/>
        <v>0</v>
      </c>
      <c r="J71" s="99">
        <f t="shared" si="12"/>
        <v>0</v>
      </c>
      <c r="K71" s="99">
        <f t="shared" si="12"/>
        <v>38160</v>
      </c>
      <c r="L71" s="99">
        <f t="shared" si="12"/>
        <v>2160</v>
      </c>
      <c r="M71" s="99">
        <f t="shared" si="12"/>
        <v>0</v>
      </c>
      <c r="N71" s="99">
        <f t="shared" si="12"/>
        <v>-40320</v>
      </c>
    </row>
    <row r="72" spans="1:8">
      <c r="A72" s="88"/>
      <c r="B72" s="88"/>
      <c r="C72" s="88"/>
      <c r="D72" s="88"/>
      <c r="E72" s="88"/>
      <c r="F72" s="88"/>
      <c r="G72" s="88"/>
      <c r="H72" s="88"/>
    </row>
    <row r="73" spans="1:8">
      <c r="A73" s="88"/>
      <c r="B73" s="88"/>
      <c r="C73" s="88"/>
      <c r="D73" s="88"/>
      <c r="E73" s="88"/>
      <c r="F73" s="88"/>
      <c r="G73" s="88"/>
      <c r="H73" s="88"/>
    </row>
    <row r="74" spans="1:8">
      <c r="A74" s="88"/>
      <c r="B74" s="88"/>
      <c r="C74" s="88"/>
      <c r="D74" s="88"/>
      <c r="E74" s="88"/>
      <c r="F74" s="88"/>
      <c r="G74" s="88"/>
      <c r="H74" s="88"/>
    </row>
    <row r="75" spans="1:8">
      <c r="A75" s="88"/>
      <c r="B75" s="88"/>
      <c r="C75" s="88"/>
      <c r="D75" s="88"/>
      <c r="E75" s="88"/>
      <c r="F75" s="88"/>
      <c r="G75" s="88"/>
      <c r="H75" s="88"/>
    </row>
    <row r="76" spans="1:8">
      <c r="A76" s="88"/>
      <c r="B76" s="88"/>
      <c r="C76" s="88"/>
      <c r="D76" s="88"/>
      <c r="E76" s="88"/>
      <c r="F76" s="88"/>
      <c r="G76" s="88"/>
      <c r="H76" s="88"/>
    </row>
    <row r="77" spans="1:8">
      <c r="A77" s="88"/>
      <c r="B77" s="88"/>
      <c r="C77" s="88"/>
      <c r="D77" s="88"/>
      <c r="E77" s="88"/>
      <c r="F77" s="88"/>
      <c r="G77" s="88"/>
      <c r="H77" s="88"/>
    </row>
  </sheetData>
  <mergeCells count="59">
    <mergeCell ref="A2:N2"/>
    <mergeCell ref="E3:K3"/>
    <mergeCell ref="A8:N8"/>
    <mergeCell ref="D9:L9"/>
    <mergeCell ref="A15:N15"/>
    <mergeCell ref="D16:L16"/>
    <mergeCell ref="A22:N22"/>
    <mergeCell ref="D23:L23"/>
    <mergeCell ref="A28:N28"/>
    <mergeCell ref="D29:L29"/>
    <mergeCell ref="A34:N34"/>
    <mergeCell ref="D35:L35"/>
    <mergeCell ref="A40:N40"/>
    <mergeCell ref="D41:L41"/>
    <mergeCell ref="A46:N46"/>
    <mergeCell ref="D47:L47"/>
    <mergeCell ref="A52:N52"/>
    <mergeCell ref="D53:L53"/>
    <mergeCell ref="A59:I59"/>
    <mergeCell ref="A62:G62"/>
    <mergeCell ref="A66:G66"/>
    <mergeCell ref="A67:N67"/>
    <mergeCell ref="D68:L68"/>
    <mergeCell ref="D69:E69"/>
    <mergeCell ref="D70:E70"/>
    <mergeCell ref="D71:E71"/>
    <mergeCell ref="A3:A4"/>
    <mergeCell ref="A9:A10"/>
    <mergeCell ref="A16:A17"/>
    <mergeCell ref="A23:A24"/>
    <mergeCell ref="A29:A30"/>
    <mergeCell ref="A35:A36"/>
    <mergeCell ref="A41:A42"/>
    <mergeCell ref="A47:A48"/>
    <mergeCell ref="A53:A54"/>
    <mergeCell ref="A68:A69"/>
    <mergeCell ref="C3:C4"/>
    <mergeCell ref="C9:C10"/>
    <mergeCell ref="C16:C17"/>
    <mergeCell ref="C23:C24"/>
    <mergeCell ref="C29:C30"/>
    <mergeCell ref="C35:C36"/>
    <mergeCell ref="C41:C42"/>
    <mergeCell ref="C47:C48"/>
    <mergeCell ref="C53:C54"/>
    <mergeCell ref="C68:C69"/>
    <mergeCell ref="K60:K62"/>
    <mergeCell ref="L60:L62"/>
    <mergeCell ref="M3:M4"/>
    <mergeCell ref="M9:M10"/>
    <mergeCell ref="M16:M17"/>
    <mergeCell ref="M23:M24"/>
    <mergeCell ref="M29:M30"/>
    <mergeCell ref="M35:M36"/>
    <mergeCell ref="M41:M42"/>
    <mergeCell ref="M47:M48"/>
    <mergeCell ref="M53:M54"/>
    <mergeCell ref="M68:M69"/>
    <mergeCell ref="A60:G61"/>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C2" sqref="C2:D2"/>
    </sheetView>
  </sheetViews>
  <sheetFormatPr defaultColWidth="9" defaultRowHeight="13.5" outlineLevelCol="7"/>
  <cols>
    <col min="2" max="2" width="24.75" customWidth="1"/>
    <col min="3" max="3" width="24.75" style="70" customWidth="1"/>
    <col min="4" max="4" width="23.25" style="71" customWidth="1"/>
    <col min="6" max="6" width="34.25" customWidth="1"/>
    <col min="7" max="7" width="11.5"/>
    <col min="8" max="8" width="13.125" customWidth="1"/>
  </cols>
  <sheetData>
    <row r="1" ht="43" customHeight="1" spans="1:7">
      <c r="A1" s="72" t="s">
        <v>54</v>
      </c>
      <c r="B1" s="72"/>
      <c r="C1" s="73"/>
      <c r="D1" s="73"/>
      <c r="E1" s="72"/>
      <c r="F1" s="19"/>
      <c r="G1" s="19"/>
    </row>
    <row r="2" ht="43" customHeight="1" spans="1:7">
      <c r="A2" s="74" t="s">
        <v>55</v>
      </c>
      <c r="B2" s="75" t="s">
        <v>56</v>
      </c>
      <c r="C2" s="76" t="s">
        <v>57</v>
      </c>
      <c r="D2" s="77"/>
      <c r="E2" s="74" t="s">
        <v>58</v>
      </c>
      <c r="F2" s="78" t="s">
        <v>59</v>
      </c>
      <c r="G2" s="78" t="s">
        <v>60</v>
      </c>
    </row>
    <row r="3" ht="43" customHeight="1" spans="1:7">
      <c r="A3" s="74"/>
      <c r="B3" s="75"/>
      <c r="C3" s="79" t="s">
        <v>61</v>
      </c>
      <c r="D3" s="80" t="s">
        <v>62</v>
      </c>
      <c r="E3" s="74"/>
      <c r="F3" s="81"/>
      <c r="G3" s="81"/>
    </row>
    <row r="4" ht="24" customHeight="1" spans="1:8">
      <c r="A4" s="19"/>
      <c r="B4" s="78" t="s">
        <v>63</v>
      </c>
      <c r="C4" s="82">
        <v>12523.46</v>
      </c>
      <c r="D4" s="83" t="s">
        <v>64</v>
      </c>
      <c r="E4" s="19"/>
      <c r="F4" s="78" t="s">
        <v>65</v>
      </c>
      <c r="G4" s="19">
        <v>264</v>
      </c>
      <c r="H4" s="8">
        <f>G4+G5+G7+G6+G8+G9</f>
        <v>15048</v>
      </c>
    </row>
    <row r="5" ht="24" customHeight="1" spans="1:8">
      <c r="A5" s="19"/>
      <c r="B5" s="84"/>
      <c r="C5" s="82">
        <v>38394.38</v>
      </c>
      <c r="D5" s="83" t="s">
        <v>66</v>
      </c>
      <c r="E5" s="19"/>
      <c r="F5" s="84"/>
      <c r="G5" s="19">
        <v>616</v>
      </c>
      <c r="H5" s="8"/>
    </row>
    <row r="6" ht="24" customHeight="1" spans="1:8">
      <c r="A6" s="19"/>
      <c r="B6" s="84"/>
      <c r="C6" s="82">
        <v>114045.25</v>
      </c>
      <c r="D6" s="83" t="s">
        <v>66</v>
      </c>
      <c r="E6" s="19"/>
      <c r="F6" s="84"/>
      <c r="G6" s="19">
        <v>2552</v>
      </c>
      <c r="H6" s="8"/>
    </row>
    <row r="7" ht="24" customHeight="1" spans="1:8">
      <c r="A7" s="19"/>
      <c r="B7" s="84"/>
      <c r="C7" s="71">
        <v>49884.03</v>
      </c>
      <c r="D7" s="83" t="s">
        <v>67</v>
      </c>
      <c r="E7" s="19"/>
      <c r="F7" s="84"/>
      <c r="G7" s="19">
        <v>2288</v>
      </c>
      <c r="H7" s="8"/>
    </row>
    <row r="8" ht="24" customHeight="1" spans="1:8">
      <c r="A8" s="19"/>
      <c r="B8" s="84"/>
      <c r="C8" s="82">
        <v>205858.57</v>
      </c>
      <c r="D8" s="83" t="s">
        <v>67</v>
      </c>
      <c r="E8" s="19"/>
      <c r="F8" s="84"/>
      <c r="G8" s="19">
        <v>3960</v>
      </c>
      <c r="H8" s="8"/>
    </row>
    <row r="9" ht="24" customHeight="1" spans="1:8">
      <c r="A9" s="19"/>
      <c r="B9" s="84"/>
      <c r="C9" s="82">
        <v>304861</v>
      </c>
      <c r="D9" s="83" t="s">
        <v>67</v>
      </c>
      <c r="E9" s="19"/>
      <c r="F9" s="84"/>
      <c r="G9" s="19">
        <v>5368</v>
      </c>
      <c r="H9" s="8"/>
    </row>
    <row r="10" ht="24" customHeight="1" spans="1:7">
      <c r="A10" s="19"/>
      <c r="B10" s="19" t="s">
        <v>68</v>
      </c>
      <c r="C10" s="85">
        <v>572157</v>
      </c>
      <c r="D10" s="83" t="s">
        <v>69</v>
      </c>
      <c r="E10" s="19"/>
      <c r="F10" s="81"/>
      <c r="G10" s="19">
        <f>C10</f>
        <v>572157</v>
      </c>
    </row>
    <row r="11" ht="24" customHeight="1" spans="1:7">
      <c r="A11" s="19"/>
      <c r="B11" s="19" t="s">
        <v>70</v>
      </c>
      <c r="C11" s="85">
        <v>547322.37</v>
      </c>
      <c r="D11" s="83" t="s">
        <v>71</v>
      </c>
      <c r="E11" s="19"/>
      <c r="F11" s="19" t="s">
        <v>72</v>
      </c>
      <c r="G11" s="78">
        <f>C11+C12</f>
        <v>822822.37</v>
      </c>
    </row>
    <row r="12" ht="24" customHeight="1" spans="1:7">
      <c r="A12" s="19"/>
      <c r="B12" s="19"/>
      <c r="C12" s="82">
        <v>275500</v>
      </c>
      <c r="D12" s="83" t="s">
        <v>73</v>
      </c>
      <c r="E12" s="19"/>
      <c r="F12" s="19"/>
      <c r="G12" s="81"/>
    </row>
    <row r="13" ht="24" customHeight="1" spans="1:7">
      <c r="A13" s="19"/>
      <c r="B13" s="19" t="s">
        <v>74</v>
      </c>
      <c r="C13" s="82">
        <v>412542.16</v>
      </c>
      <c r="D13" s="83" t="s">
        <v>75</v>
      </c>
      <c r="E13" s="19"/>
      <c r="F13" s="19"/>
      <c r="G13" s="19">
        <f>C13</f>
        <v>412542.16</v>
      </c>
    </row>
    <row r="14" ht="24" customHeight="1" spans="1:7">
      <c r="A14" s="19"/>
      <c r="B14" s="19" t="s">
        <v>76</v>
      </c>
      <c r="C14" s="82">
        <v>310350.09</v>
      </c>
      <c r="D14" s="83" t="s">
        <v>73</v>
      </c>
      <c r="E14" s="19"/>
      <c r="F14" s="19"/>
      <c r="G14" s="19">
        <f>C14</f>
        <v>310350.09</v>
      </c>
    </row>
    <row r="15" ht="24" customHeight="1" spans="1:7">
      <c r="A15" s="19"/>
      <c r="B15" s="78" t="s">
        <v>77</v>
      </c>
      <c r="C15" s="82">
        <v>180000</v>
      </c>
      <c r="D15" s="83" t="s">
        <v>78</v>
      </c>
      <c r="E15" s="19"/>
      <c r="F15" s="19"/>
      <c r="G15" s="19">
        <f>C15</f>
        <v>180000</v>
      </c>
    </row>
    <row r="16" ht="24" customHeight="1" spans="1:7">
      <c r="A16" s="19"/>
      <c r="B16" s="78" t="s">
        <v>79</v>
      </c>
      <c r="C16" s="82">
        <v>295485.6</v>
      </c>
      <c r="D16" s="83" t="s">
        <v>80</v>
      </c>
      <c r="E16" s="19"/>
      <c r="F16" s="19"/>
      <c r="G16" s="19">
        <f>C16</f>
        <v>295485.6</v>
      </c>
    </row>
    <row r="17" ht="24" customHeight="1" spans="1:7">
      <c r="A17" s="19"/>
      <c r="B17" s="78" t="s">
        <v>81</v>
      </c>
      <c r="C17" s="82">
        <v>15048</v>
      </c>
      <c r="D17" s="83" t="s">
        <v>82</v>
      </c>
      <c r="E17" s="19"/>
      <c r="F17" s="19"/>
      <c r="G17" s="78">
        <f>C17+C18</f>
        <v>185944.6</v>
      </c>
    </row>
    <row r="18" ht="24" customHeight="1" spans="1:7">
      <c r="A18" s="19"/>
      <c r="B18" s="81"/>
      <c r="C18" s="82">
        <v>170896.6</v>
      </c>
      <c r="D18" s="83" t="s">
        <v>66</v>
      </c>
      <c r="E18" s="19"/>
      <c r="F18" s="19"/>
      <c r="G18" s="81"/>
    </row>
    <row r="19" ht="24" customHeight="1" spans="1:7">
      <c r="A19" s="19"/>
      <c r="B19" s="84" t="s">
        <v>83</v>
      </c>
      <c r="C19" s="82">
        <v>68710</v>
      </c>
      <c r="D19" s="83" t="s">
        <v>73</v>
      </c>
      <c r="E19" s="19"/>
      <c r="F19" s="19"/>
      <c r="G19" s="78">
        <f>C19+C20</f>
        <v>96210</v>
      </c>
    </row>
    <row r="20" ht="24" customHeight="1" spans="1:7">
      <c r="A20" s="19"/>
      <c r="B20" s="81"/>
      <c r="C20" s="32">
        <v>27500</v>
      </c>
      <c r="D20" s="83" t="s">
        <v>84</v>
      </c>
      <c r="E20" s="19"/>
      <c r="F20" s="19"/>
      <c r="G20" s="81"/>
    </row>
    <row r="21" ht="24" customHeight="1" spans="3:7">
      <c r="C21" s="71">
        <f>SUM(C4:C20)</f>
        <v>3601078.51</v>
      </c>
      <c r="F21" s="8"/>
      <c r="G21">
        <f>SUM(G4:G20)</f>
        <v>2890559.82</v>
      </c>
    </row>
  </sheetData>
  <mergeCells count="17">
    <mergeCell ref="A1:E1"/>
    <mergeCell ref="C2:D2"/>
    <mergeCell ref="A2:A3"/>
    <mergeCell ref="B2:B3"/>
    <mergeCell ref="B4:B9"/>
    <mergeCell ref="B11:B12"/>
    <mergeCell ref="B17:B18"/>
    <mergeCell ref="B19:B20"/>
    <mergeCell ref="E2:E3"/>
    <mergeCell ref="F2:F3"/>
    <mergeCell ref="F4:F10"/>
    <mergeCell ref="F11:F20"/>
    <mergeCell ref="G2:G3"/>
    <mergeCell ref="G11:G12"/>
    <mergeCell ref="G17:G18"/>
    <mergeCell ref="G19:G20"/>
    <mergeCell ref="H4:H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D39" sqref="D39"/>
    </sheetView>
  </sheetViews>
  <sheetFormatPr defaultColWidth="9" defaultRowHeight="13.5" outlineLevelCol="6"/>
  <cols>
    <col min="1" max="1" width="25.125" style="53" customWidth="1"/>
    <col min="2" max="2" width="26.625" style="54" customWidth="1"/>
    <col min="3" max="3" width="37.75" style="53" customWidth="1"/>
    <col min="4" max="4" width="51.875" style="53" customWidth="1"/>
    <col min="5" max="5" width="16.125" style="53" customWidth="1"/>
    <col min="6" max="6" width="12.375" style="53" customWidth="1"/>
    <col min="7" max="7" width="10.875" style="51" customWidth="1"/>
    <col min="8" max="16384" width="9" style="51"/>
  </cols>
  <sheetData>
    <row r="1" spans="1:6">
      <c r="A1" s="55" t="s">
        <v>85</v>
      </c>
      <c r="B1" s="55" t="s">
        <v>86</v>
      </c>
      <c r="C1" s="55" t="s">
        <v>87</v>
      </c>
      <c r="D1" s="55" t="s">
        <v>88</v>
      </c>
      <c r="E1" s="56" t="s">
        <v>89</v>
      </c>
      <c r="F1" s="56" t="s">
        <v>90</v>
      </c>
    </row>
    <row r="2" spans="1:6">
      <c r="A2" s="57" t="s">
        <v>91</v>
      </c>
      <c r="B2" s="57" t="s">
        <v>92</v>
      </c>
      <c r="C2" s="58" t="s">
        <v>93</v>
      </c>
      <c r="D2" s="57" t="s">
        <v>94</v>
      </c>
      <c r="E2" s="59">
        <v>0</v>
      </c>
      <c r="F2" s="59">
        <v>1269.76</v>
      </c>
    </row>
    <row r="3" spans="1:6">
      <c r="A3" s="57" t="s">
        <v>91</v>
      </c>
      <c r="B3" s="57" t="s">
        <v>92</v>
      </c>
      <c r="C3" s="58" t="s">
        <v>93</v>
      </c>
      <c r="D3" s="57" t="s">
        <v>94</v>
      </c>
      <c r="E3" s="59">
        <v>0</v>
      </c>
      <c r="F3" s="59">
        <v>624.88</v>
      </c>
    </row>
    <row r="4" spans="1:7">
      <c r="A4" s="57" t="s">
        <v>95</v>
      </c>
      <c r="B4" s="57" t="s">
        <v>96</v>
      </c>
      <c r="C4" s="58" t="s">
        <v>93</v>
      </c>
      <c r="D4" s="57" t="s">
        <v>97</v>
      </c>
      <c r="E4" s="59">
        <v>1894.64</v>
      </c>
      <c r="F4" s="59">
        <v>0</v>
      </c>
      <c r="G4" s="60" t="s">
        <v>98</v>
      </c>
    </row>
    <row r="5" spans="1:6">
      <c r="A5" s="57" t="s">
        <v>99</v>
      </c>
      <c r="B5" s="57" t="s">
        <v>100</v>
      </c>
      <c r="C5" s="58" t="s">
        <v>93</v>
      </c>
      <c r="D5" s="57" t="s">
        <v>101</v>
      </c>
      <c r="E5" s="59">
        <v>0</v>
      </c>
      <c r="F5" s="59">
        <v>427440.58</v>
      </c>
    </row>
    <row r="6" spans="1:6">
      <c r="A6" s="57" t="s">
        <v>99</v>
      </c>
      <c r="B6" s="57" t="s">
        <v>102</v>
      </c>
      <c r="C6" s="58" t="s">
        <v>93</v>
      </c>
      <c r="D6" s="57" t="s">
        <v>103</v>
      </c>
      <c r="E6" s="59">
        <v>0</v>
      </c>
      <c r="F6" s="59">
        <v>145116.12</v>
      </c>
    </row>
    <row r="7" spans="1:6">
      <c r="A7" s="57" t="s">
        <v>104</v>
      </c>
      <c r="B7" s="57" t="s">
        <v>105</v>
      </c>
      <c r="C7" s="58" t="s">
        <v>93</v>
      </c>
      <c r="D7" s="57" t="s">
        <v>101</v>
      </c>
      <c r="E7" s="59">
        <v>0</v>
      </c>
      <c r="F7" s="59">
        <v>2000</v>
      </c>
    </row>
    <row r="8" spans="1:6">
      <c r="A8" s="57" t="s">
        <v>106</v>
      </c>
      <c r="B8" s="57" t="s">
        <v>107</v>
      </c>
      <c r="C8" s="58" t="s">
        <v>93</v>
      </c>
      <c r="D8" s="57" t="s">
        <v>94</v>
      </c>
      <c r="E8" s="59">
        <v>0</v>
      </c>
      <c r="F8" s="59">
        <v>22855.68</v>
      </c>
    </row>
    <row r="9" spans="1:6">
      <c r="A9" s="57" t="s">
        <v>106</v>
      </c>
      <c r="B9" s="57" t="s">
        <v>107</v>
      </c>
      <c r="C9" s="58" t="s">
        <v>93</v>
      </c>
      <c r="D9" s="57" t="s">
        <v>94</v>
      </c>
      <c r="E9" s="59">
        <v>0</v>
      </c>
      <c r="F9" s="59">
        <v>11265.09</v>
      </c>
    </row>
    <row r="10" spans="1:6">
      <c r="A10" s="57" t="s">
        <v>108</v>
      </c>
      <c r="B10" s="57" t="s">
        <v>109</v>
      </c>
      <c r="C10" s="58" t="s">
        <v>93</v>
      </c>
      <c r="D10" s="57" t="s">
        <v>110</v>
      </c>
      <c r="E10" s="59">
        <v>0</v>
      </c>
      <c r="F10" s="59">
        <v>190</v>
      </c>
    </row>
    <row r="11" s="50" customFormat="1" spans="1:6">
      <c r="A11" s="61" t="s">
        <v>111</v>
      </c>
      <c r="B11" s="61" t="s">
        <v>112</v>
      </c>
      <c r="C11" s="61" t="s">
        <v>113</v>
      </c>
      <c r="D11" s="61" t="s">
        <v>114</v>
      </c>
      <c r="E11" s="62">
        <v>572157</v>
      </c>
      <c r="F11" s="63"/>
    </row>
    <row r="12" s="51" customFormat="1" spans="1:6">
      <c r="A12" s="61" t="s">
        <v>115</v>
      </c>
      <c r="B12" s="61" t="s">
        <v>116</v>
      </c>
      <c r="C12" s="61" t="s">
        <v>113</v>
      </c>
      <c r="D12" s="61" t="s">
        <v>117</v>
      </c>
      <c r="E12" s="62">
        <v>12523.46</v>
      </c>
      <c r="F12" s="63"/>
    </row>
    <row r="13" s="51" customFormat="1" spans="1:6">
      <c r="A13" s="61" t="s">
        <v>118</v>
      </c>
      <c r="B13" s="61" t="s">
        <v>116</v>
      </c>
      <c r="C13" s="61" t="s">
        <v>113</v>
      </c>
      <c r="D13" s="61" t="s">
        <v>117</v>
      </c>
      <c r="E13" s="62">
        <v>38394.38</v>
      </c>
      <c r="F13" s="63"/>
    </row>
    <row r="14" s="51" customFormat="1" spans="1:6">
      <c r="A14" s="61" t="s">
        <v>118</v>
      </c>
      <c r="B14" s="61" t="s">
        <v>116</v>
      </c>
      <c r="C14" s="61" t="s">
        <v>113</v>
      </c>
      <c r="D14" s="61" t="s">
        <v>117</v>
      </c>
      <c r="E14" s="62">
        <v>114045.25</v>
      </c>
      <c r="F14" s="63"/>
    </row>
    <row r="15" s="51" customFormat="1" spans="1:6">
      <c r="A15" s="61" t="s">
        <v>119</v>
      </c>
      <c r="B15" s="61" t="s">
        <v>116</v>
      </c>
      <c r="C15" s="61" t="s">
        <v>113</v>
      </c>
      <c r="D15" s="61" t="s">
        <v>117</v>
      </c>
      <c r="E15" s="62">
        <v>32020.03</v>
      </c>
      <c r="F15" s="63"/>
    </row>
    <row r="16" s="51" customFormat="1" spans="1:6">
      <c r="A16" s="61" t="s">
        <v>119</v>
      </c>
      <c r="B16" s="61" t="s">
        <v>116</v>
      </c>
      <c r="C16" s="61" t="s">
        <v>113</v>
      </c>
      <c r="D16" s="61" t="s">
        <v>117</v>
      </c>
      <c r="E16" s="62">
        <v>43370.38</v>
      </c>
      <c r="F16" s="63"/>
    </row>
    <row r="17" s="51" customFormat="1" spans="1:6">
      <c r="A17" s="61" t="s">
        <v>119</v>
      </c>
      <c r="B17" s="61" t="s">
        <v>116</v>
      </c>
      <c r="C17" s="61" t="s">
        <v>113</v>
      </c>
      <c r="D17" s="61" t="s">
        <v>117</v>
      </c>
      <c r="E17" s="62">
        <v>162488.19</v>
      </c>
      <c r="F17" s="63"/>
    </row>
    <row r="18" s="51" customFormat="1" spans="1:6">
      <c r="A18" s="61" t="s">
        <v>119</v>
      </c>
      <c r="B18" s="61" t="s">
        <v>116</v>
      </c>
      <c r="C18" s="61" t="s">
        <v>113</v>
      </c>
      <c r="D18" s="61" t="s">
        <v>117</v>
      </c>
      <c r="E18" s="62">
        <v>17864</v>
      </c>
      <c r="F18" s="63"/>
    </row>
    <row r="19" s="51" customFormat="1" spans="1:6">
      <c r="A19" s="61" t="s">
        <v>120</v>
      </c>
      <c r="B19" s="61" t="s">
        <v>116</v>
      </c>
      <c r="C19" s="61" t="s">
        <v>113</v>
      </c>
      <c r="D19" s="61" t="s">
        <v>117</v>
      </c>
      <c r="E19" s="62">
        <v>17376.51</v>
      </c>
      <c r="F19" s="63"/>
    </row>
    <row r="20" s="51" customFormat="1" spans="1:6">
      <c r="A20" s="61" t="s">
        <v>120</v>
      </c>
      <c r="B20" s="61" t="s">
        <v>116</v>
      </c>
      <c r="C20" s="61" t="s">
        <v>113</v>
      </c>
      <c r="D20" s="61" t="s">
        <v>117</v>
      </c>
      <c r="E20" s="62">
        <v>287484.49</v>
      </c>
      <c r="F20" s="63"/>
    </row>
    <row r="21" s="50" customFormat="1" spans="1:6">
      <c r="A21" s="61" t="s">
        <v>121</v>
      </c>
      <c r="B21" s="61" t="s">
        <v>122</v>
      </c>
      <c r="C21" s="57" t="s">
        <v>123</v>
      </c>
      <c r="D21" s="61" t="s">
        <v>124</v>
      </c>
      <c r="E21" s="62">
        <v>310350.09</v>
      </c>
      <c r="F21" s="62">
        <v>0</v>
      </c>
    </row>
    <row r="22" s="50" customFormat="1" spans="1:6">
      <c r="A22" s="61" t="s">
        <v>121</v>
      </c>
      <c r="B22" s="61" t="s">
        <v>125</v>
      </c>
      <c r="C22" s="57" t="s">
        <v>123</v>
      </c>
      <c r="D22" s="61" t="s">
        <v>126</v>
      </c>
      <c r="E22" s="62">
        <v>275500</v>
      </c>
      <c r="F22" s="62">
        <v>0</v>
      </c>
    </row>
    <row r="23" s="50" customFormat="1" spans="1:6">
      <c r="A23" s="61" t="s">
        <v>121</v>
      </c>
      <c r="B23" s="61" t="s">
        <v>127</v>
      </c>
      <c r="C23" s="57" t="s">
        <v>123</v>
      </c>
      <c r="D23" s="61" t="s">
        <v>128</v>
      </c>
      <c r="E23" s="62">
        <v>68710</v>
      </c>
      <c r="F23" s="62">
        <v>0</v>
      </c>
    </row>
    <row r="24" s="50" customFormat="1" spans="1:6">
      <c r="A24" s="61" t="s">
        <v>129</v>
      </c>
      <c r="B24" s="61" t="s">
        <v>130</v>
      </c>
      <c r="C24" s="57" t="s">
        <v>123</v>
      </c>
      <c r="D24" s="61" t="s">
        <v>128</v>
      </c>
      <c r="E24" s="62">
        <v>27500</v>
      </c>
      <c r="F24" s="62">
        <v>0</v>
      </c>
    </row>
    <row r="25" s="50" customFormat="1" spans="1:6">
      <c r="A25" s="61" t="s">
        <v>131</v>
      </c>
      <c r="B25" s="61" t="s">
        <v>132</v>
      </c>
      <c r="C25" s="57" t="s">
        <v>123</v>
      </c>
      <c r="D25" s="61" t="s">
        <v>133</v>
      </c>
      <c r="E25" s="62">
        <v>412542.16</v>
      </c>
      <c r="F25" s="62">
        <v>0</v>
      </c>
    </row>
    <row r="26" s="50" customFormat="1" spans="1:6">
      <c r="A26" s="61" t="s">
        <v>95</v>
      </c>
      <c r="B26" s="61" t="s">
        <v>134</v>
      </c>
      <c r="C26" s="57" t="s">
        <v>123</v>
      </c>
      <c r="D26" s="61" t="s">
        <v>135</v>
      </c>
      <c r="E26" s="62">
        <v>15048</v>
      </c>
      <c r="F26" s="62">
        <v>0</v>
      </c>
    </row>
    <row r="27" s="50" customFormat="1" spans="1:6">
      <c r="A27" s="61" t="s">
        <v>99</v>
      </c>
      <c r="B27" s="61" t="s">
        <v>136</v>
      </c>
      <c r="C27" s="57" t="s">
        <v>123</v>
      </c>
      <c r="D27" s="61" t="s">
        <v>126</v>
      </c>
      <c r="E27" s="62">
        <v>547322.37</v>
      </c>
      <c r="F27" s="62">
        <v>0</v>
      </c>
    </row>
    <row r="28" s="50" customFormat="1" spans="1:6">
      <c r="A28" s="61" t="s">
        <v>137</v>
      </c>
      <c r="B28" s="61" t="s">
        <v>138</v>
      </c>
      <c r="C28" s="57" t="s">
        <v>123</v>
      </c>
      <c r="D28" s="61" t="s">
        <v>139</v>
      </c>
      <c r="E28" s="62">
        <v>295485.6</v>
      </c>
      <c r="F28" s="62">
        <v>0</v>
      </c>
    </row>
    <row r="29" s="50" customFormat="1" spans="1:6">
      <c r="A29" s="61" t="s">
        <v>118</v>
      </c>
      <c r="B29" s="61" t="s">
        <v>140</v>
      </c>
      <c r="C29" s="57" t="s">
        <v>123</v>
      </c>
      <c r="D29" s="61" t="s">
        <v>135</v>
      </c>
      <c r="E29" s="62">
        <v>170896.6</v>
      </c>
      <c r="F29" s="62">
        <v>0</v>
      </c>
    </row>
    <row r="30" s="50" customFormat="1" spans="1:6">
      <c r="A30" s="61" t="s">
        <v>141</v>
      </c>
      <c r="B30" s="61" t="s">
        <v>142</v>
      </c>
      <c r="C30" s="57" t="s">
        <v>123</v>
      </c>
      <c r="D30" s="61" t="s">
        <v>143</v>
      </c>
      <c r="E30" s="62">
        <v>180000</v>
      </c>
      <c r="F30" s="63">
        <v>0</v>
      </c>
    </row>
    <row r="31" s="52" customFormat="1" spans="1:6">
      <c r="A31" s="64"/>
      <c r="B31" s="64"/>
      <c r="C31" s="64"/>
      <c r="D31" s="65"/>
      <c r="E31" s="65">
        <f>SUM(E2:E30)</f>
        <v>3602973.15</v>
      </c>
      <c r="F31" s="65">
        <f>SUM(F2:F30)</f>
        <v>610762.11</v>
      </c>
    </row>
    <row r="32" s="52" customFormat="1" spans="1:6">
      <c r="A32" s="64"/>
      <c r="B32" s="64"/>
      <c r="C32" s="64"/>
      <c r="D32" s="65"/>
      <c r="E32" s="65"/>
      <c r="F32" s="66"/>
    </row>
    <row r="33" spans="1:2">
      <c r="A33" s="63" t="s">
        <v>144</v>
      </c>
      <c r="B33" s="67" t="s">
        <v>145</v>
      </c>
    </row>
    <row r="34" spans="1:6">
      <c r="A34" s="63" t="s">
        <v>146</v>
      </c>
      <c r="B34" s="67">
        <f>SUM(E12:E20)</f>
        <v>725566.69</v>
      </c>
      <c r="D34" s="19" t="s">
        <v>147</v>
      </c>
      <c r="E34" s="68" t="s">
        <v>145</v>
      </c>
      <c r="F34" s="68"/>
    </row>
    <row r="35" ht="27" spans="1:6">
      <c r="A35" s="63" t="s">
        <v>148</v>
      </c>
      <c r="B35" s="67">
        <f>E21</f>
        <v>310350.09</v>
      </c>
      <c r="D35" s="19" t="s">
        <v>149</v>
      </c>
      <c r="E35" s="68">
        <f>F2+F3-E4+F5+F7+F8+F9+F10</f>
        <v>463751.35</v>
      </c>
      <c r="F35" s="68" t="s">
        <v>150</v>
      </c>
    </row>
    <row r="36" spans="1:7">
      <c r="A36" s="63" t="s">
        <v>70</v>
      </c>
      <c r="B36" s="67">
        <f>E22+E27</f>
        <v>822822.37</v>
      </c>
      <c r="D36" s="19" t="s">
        <v>151</v>
      </c>
      <c r="E36" s="68">
        <f>F6</f>
        <v>145116.12</v>
      </c>
      <c r="F36" s="68" t="s">
        <v>152</v>
      </c>
      <c r="G36" s="52"/>
    </row>
    <row r="37" spans="1:7">
      <c r="A37" s="63" t="s">
        <v>68</v>
      </c>
      <c r="B37" s="67">
        <f>E11</f>
        <v>572157</v>
      </c>
      <c r="D37" s="37"/>
      <c r="E37" s="69">
        <f>SUM(E35:E36)</f>
        <v>608867.47</v>
      </c>
      <c r="F37" s="69"/>
      <c r="G37" s="52"/>
    </row>
    <row r="38" spans="1:7">
      <c r="A38" s="63" t="s">
        <v>153</v>
      </c>
      <c r="B38" s="67">
        <f>E26+E29</f>
        <v>185944.6</v>
      </c>
      <c r="D38" s="37"/>
      <c r="E38" s="69"/>
      <c r="F38" s="69"/>
      <c r="G38" s="52"/>
    </row>
    <row r="39" spans="1:7">
      <c r="A39" s="63" t="s">
        <v>74</v>
      </c>
      <c r="B39" s="67">
        <f>E25</f>
        <v>412542.16</v>
      </c>
      <c r="D39" s="66"/>
      <c r="E39" s="66"/>
      <c r="F39" s="69"/>
      <c r="G39" s="52"/>
    </row>
    <row r="40" spans="1:7">
      <c r="A40" s="63" t="s">
        <v>83</v>
      </c>
      <c r="B40" s="67">
        <f>E23+E24</f>
        <v>96210</v>
      </c>
      <c r="D40" s="66"/>
      <c r="E40" s="66"/>
      <c r="F40" s="66"/>
      <c r="G40" s="52"/>
    </row>
    <row r="41" spans="1:7">
      <c r="A41" s="63" t="s">
        <v>79</v>
      </c>
      <c r="B41" s="67">
        <f>E28</f>
        <v>295485.6</v>
      </c>
      <c r="D41" s="66"/>
      <c r="E41" s="66"/>
      <c r="F41" s="66"/>
      <c r="G41" s="52"/>
    </row>
    <row r="42" spans="1:2">
      <c r="A42" s="63" t="s">
        <v>77</v>
      </c>
      <c r="B42" s="67">
        <f>E30</f>
        <v>180000</v>
      </c>
    </row>
    <row r="43" spans="1:5">
      <c r="A43" s="63"/>
      <c r="B43" s="67">
        <f>SUM(B34:B42)</f>
        <v>3601078.51</v>
      </c>
      <c r="E43" s="53">
        <f>SUM(E35:E40)</f>
        <v>1217734.94</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G21" sqref="G21"/>
    </sheetView>
  </sheetViews>
  <sheetFormatPr defaultColWidth="9" defaultRowHeight="25" customHeight="1"/>
  <cols>
    <col min="1" max="1" width="9" style="8"/>
    <col min="2" max="2" width="16.1333333333333" style="8" customWidth="1"/>
    <col min="3" max="3" width="13.6333333333333" style="9" customWidth="1"/>
    <col min="4" max="4" width="13.125" style="10" customWidth="1"/>
    <col min="5" max="5" width="12.75" style="10" customWidth="1"/>
    <col min="6" max="6" width="13.6333333333333" style="10" customWidth="1"/>
    <col min="7" max="7" width="14.5" style="10" customWidth="1"/>
    <col min="8" max="8" width="24.5" style="11" customWidth="1"/>
    <col min="9" max="9" width="9.125" style="12" customWidth="1"/>
    <col min="10" max="10" width="64.625" style="12" customWidth="1"/>
    <col min="11" max="11" width="14.25" style="11" customWidth="1"/>
    <col min="12" max="12" width="31.8833333333333" style="13" customWidth="1"/>
    <col min="13" max="13" width="21.75" style="14" customWidth="1"/>
    <col min="14" max="14" width="10.75" customWidth="1"/>
  </cols>
  <sheetData>
    <row r="1" customHeight="1" spans="1:13">
      <c r="A1" s="15" t="s">
        <v>55</v>
      </c>
      <c r="B1" s="15" t="s">
        <v>154</v>
      </c>
      <c r="C1" s="16" t="s">
        <v>155</v>
      </c>
      <c r="D1" s="17" t="s">
        <v>156</v>
      </c>
      <c r="E1" s="18" t="s">
        <v>157</v>
      </c>
      <c r="F1" s="18" t="s">
        <v>158</v>
      </c>
      <c r="G1" s="18" t="s">
        <v>159</v>
      </c>
      <c r="H1" s="18" t="s">
        <v>160</v>
      </c>
      <c r="I1" s="43" t="s">
        <v>161</v>
      </c>
      <c r="J1" s="43" t="s">
        <v>162</v>
      </c>
      <c r="L1" s="44"/>
      <c r="M1" s="45"/>
    </row>
    <row r="2" ht="21" customHeight="1" spans="1:11">
      <c r="A2" s="19">
        <v>1</v>
      </c>
      <c r="B2" s="20" t="s">
        <v>163</v>
      </c>
      <c r="C2" s="21" t="s">
        <v>164</v>
      </c>
      <c r="D2" s="22">
        <f>1768.63/31*I2</f>
        <v>1026.9464516129</v>
      </c>
      <c r="E2" s="22">
        <f>6581.48/31*18</f>
        <v>3821.50451612903</v>
      </c>
      <c r="F2" s="23" t="s">
        <v>165</v>
      </c>
      <c r="G2" s="22">
        <f>D2+E2</f>
        <v>4848.45096774194</v>
      </c>
      <c r="H2" s="24" t="s">
        <v>18</v>
      </c>
      <c r="I2" s="46">
        <v>18</v>
      </c>
      <c r="J2" s="46" t="s">
        <v>166</v>
      </c>
      <c r="K2" s="47"/>
    </row>
    <row r="3" ht="21" customHeight="1" spans="1:11">
      <c r="A3" s="19">
        <v>2</v>
      </c>
      <c r="B3" s="25"/>
      <c r="C3" s="21" t="s">
        <v>167</v>
      </c>
      <c r="D3" s="22">
        <f>721.41/31*I3</f>
        <v>255.984193548387</v>
      </c>
      <c r="E3" s="22">
        <f>5576.14/31*11</f>
        <v>1978.63032258065</v>
      </c>
      <c r="F3" s="26"/>
      <c r="G3" s="22">
        <f t="shared" ref="G2:G12" si="0">D3+E3</f>
        <v>2234.61451612903</v>
      </c>
      <c r="H3" s="24" t="s">
        <v>18</v>
      </c>
      <c r="I3" s="46">
        <v>11</v>
      </c>
      <c r="J3" s="46" t="s">
        <v>168</v>
      </c>
      <c r="K3" s="47"/>
    </row>
    <row r="4" ht="21" customHeight="1" spans="1:11">
      <c r="A4" s="19">
        <v>3</v>
      </c>
      <c r="B4" s="25"/>
      <c r="C4" s="21" t="s">
        <v>169</v>
      </c>
      <c r="D4" s="22">
        <f>1768.63/31*I4</f>
        <v>1768.63</v>
      </c>
      <c r="E4" s="22">
        <v>10851.48</v>
      </c>
      <c r="F4" s="26"/>
      <c r="G4" s="22">
        <f t="shared" si="0"/>
        <v>12620.11</v>
      </c>
      <c r="H4" s="24" t="s">
        <v>18</v>
      </c>
      <c r="I4" s="46">
        <v>31</v>
      </c>
      <c r="J4" s="46" t="s">
        <v>170</v>
      </c>
      <c r="K4" s="47"/>
    </row>
    <row r="5" ht="21" customHeight="1" spans="1:11">
      <c r="A5" s="19">
        <v>4</v>
      </c>
      <c r="B5" s="25"/>
      <c r="C5" s="27" t="s">
        <v>171</v>
      </c>
      <c r="D5" s="22">
        <f>1768.63/31*I5</f>
        <v>1026.9464516129</v>
      </c>
      <c r="E5" s="22">
        <f>(7851.48-300)/31*18</f>
        <v>4384.73032258065</v>
      </c>
      <c r="F5" s="26"/>
      <c r="G5" s="22">
        <f t="shared" si="0"/>
        <v>5411.67677419355</v>
      </c>
      <c r="H5" s="24" t="s">
        <v>18</v>
      </c>
      <c r="I5" s="46">
        <v>18</v>
      </c>
      <c r="J5" s="46" t="s">
        <v>172</v>
      </c>
      <c r="K5" s="47"/>
    </row>
    <row r="6" ht="21" customHeight="1" spans="1:11">
      <c r="A6" s="19">
        <v>5</v>
      </c>
      <c r="B6" s="25"/>
      <c r="C6" s="28" t="s">
        <v>173</v>
      </c>
      <c r="D6" s="22"/>
      <c r="E6" s="22">
        <v>5840</v>
      </c>
      <c r="F6" s="26"/>
      <c r="G6" s="22">
        <f t="shared" si="0"/>
        <v>5840</v>
      </c>
      <c r="H6" s="24" t="s">
        <v>18</v>
      </c>
      <c r="I6" s="46">
        <v>31</v>
      </c>
      <c r="J6" s="46" t="s">
        <v>174</v>
      </c>
      <c r="K6" s="47"/>
    </row>
    <row r="7" ht="21" customHeight="1" spans="1:11">
      <c r="A7" s="19">
        <v>6</v>
      </c>
      <c r="B7" s="25"/>
      <c r="C7" s="28" t="s">
        <v>175</v>
      </c>
      <c r="D7" s="22"/>
      <c r="E7" s="22">
        <f>(5596-300-900-26)/31*18+900</f>
        <v>3437.41935483871</v>
      </c>
      <c r="F7" s="26"/>
      <c r="G7" s="22">
        <f t="shared" si="0"/>
        <v>3437.41935483871</v>
      </c>
      <c r="H7" s="24" t="s">
        <v>18</v>
      </c>
      <c r="I7" s="46">
        <v>18</v>
      </c>
      <c r="J7" s="46" t="s">
        <v>176</v>
      </c>
      <c r="K7" s="47"/>
    </row>
    <row r="8" ht="21" customHeight="1" spans="1:11">
      <c r="A8" s="19">
        <v>7</v>
      </c>
      <c r="B8" s="25"/>
      <c r="C8" s="28" t="s">
        <v>177</v>
      </c>
      <c r="D8" s="22">
        <f>1768.63/31*I8</f>
        <v>1026.9464516129</v>
      </c>
      <c r="E8" s="22">
        <f>(6005.48-900-26)/31*18+900</f>
        <v>3849.37548387097</v>
      </c>
      <c r="F8" s="26"/>
      <c r="G8" s="22">
        <f t="shared" si="0"/>
        <v>4876.32193548387</v>
      </c>
      <c r="H8" s="24" t="s">
        <v>18</v>
      </c>
      <c r="I8" s="46">
        <v>18</v>
      </c>
      <c r="J8" s="46" t="s">
        <v>178</v>
      </c>
      <c r="K8" s="47"/>
    </row>
    <row r="9" ht="21" customHeight="1" spans="1:11">
      <c r="A9" s="19">
        <v>8</v>
      </c>
      <c r="B9" s="25"/>
      <c r="C9" s="29" t="s">
        <v>179</v>
      </c>
      <c r="D9" s="22">
        <f>1560.63/31*I9</f>
        <v>906.172258064516</v>
      </c>
      <c r="E9" s="22">
        <f>(5020.48-900)/31*18+900</f>
        <v>3292.53677419355</v>
      </c>
      <c r="F9" s="26"/>
      <c r="G9" s="22">
        <f t="shared" si="0"/>
        <v>4198.70903225806</v>
      </c>
      <c r="H9" s="24" t="s">
        <v>18</v>
      </c>
      <c r="I9" s="46">
        <v>18</v>
      </c>
      <c r="J9" s="46" t="s">
        <v>176</v>
      </c>
      <c r="K9" s="47"/>
    </row>
    <row r="10" ht="21" customHeight="1" spans="1:11">
      <c r="A10" s="19">
        <v>9</v>
      </c>
      <c r="B10" s="25"/>
      <c r="C10" s="30" t="s">
        <v>180</v>
      </c>
      <c r="D10" s="22">
        <f>1560.63/31*I10</f>
        <v>906.172258064516</v>
      </c>
      <c r="E10" s="22">
        <f>(3970.48-900-15)/31*18+900</f>
        <v>2674.14967741935</v>
      </c>
      <c r="F10" s="26"/>
      <c r="G10" s="22">
        <f t="shared" si="0"/>
        <v>3580.32193548387</v>
      </c>
      <c r="H10" s="24" t="s">
        <v>18</v>
      </c>
      <c r="I10" s="46">
        <v>18</v>
      </c>
      <c r="J10" s="46" t="s">
        <v>181</v>
      </c>
      <c r="K10" s="47"/>
    </row>
    <row r="11" ht="21" customHeight="1" spans="1:11">
      <c r="A11" s="19">
        <v>10</v>
      </c>
      <c r="B11" s="25"/>
      <c r="C11" s="31" t="s">
        <v>182</v>
      </c>
      <c r="D11" s="22">
        <f>1768.63/31*I11</f>
        <v>1768.63</v>
      </c>
      <c r="E11" s="22">
        <v>7311.48</v>
      </c>
      <c r="F11" s="26"/>
      <c r="G11" s="22">
        <f t="shared" si="0"/>
        <v>9080.11</v>
      </c>
      <c r="H11" s="24" t="s">
        <v>18</v>
      </c>
      <c r="I11" s="46">
        <v>31</v>
      </c>
      <c r="J11" s="46" t="s">
        <v>183</v>
      </c>
      <c r="K11" s="47"/>
    </row>
    <row r="12" ht="21" customHeight="1" spans="1:11">
      <c r="A12" s="32">
        <v>2</v>
      </c>
      <c r="B12" s="33"/>
      <c r="C12" s="34" t="s">
        <v>184</v>
      </c>
      <c r="D12" s="34">
        <f>1768.63/31*I12</f>
        <v>1369.26193548387</v>
      </c>
      <c r="E12" s="34">
        <f>(15913.03-2400)/31*24+2400</f>
        <v>12861.7006451613</v>
      </c>
      <c r="F12" s="26"/>
      <c r="G12" s="34">
        <f t="shared" si="0"/>
        <v>14230.9625806452</v>
      </c>
      <c r="H12" s="24" t="s">
        <v>18</v>
      </c>
      <c r="I12" s="46">
        <v>24</v>
      </c>
      <c r="J12" s="48" t="s">
        <v>185</v>
      </c>
      <c r="K12" s="47"/>
    </row>
    <row r="13" ht="41" customHeight="1" spans="1:10">
      <c r="A13" s="19">
        <v>11</v>
      </c>
      <c r="B13" s="35" t="s">
        <v>186</v>
      </c>
      <c r="C13" s="34" t="s">
        <v>187</v>
      </c>
      <c r="D13" s="22">
        <f>1768.63/31*20</f>
        <v>1141.05161290323</v>
      </c>
      <c r="E13" s="22">
        <v>7647.24</v>
      </c>
      <c r="F13" s="36"/>
      <c r="G13" s="22">
        <f>(7837.55-1000)/31*29+1000</f>
        <v>7396.41774193548</v>
      </c>
      <c r="H13" s="24" t="s">
        <v>18</v>
      </c>
      <c r="I13" s="46">
        <v>29</v>
      </c>
      <c r="J13" s="46" t="s">
        <v>188</v>
      </c>
    </row>
    <row r="14" ht="29" customHeight="1" spans="1:8">
      <c r="A14" s="37"/>
      <c r="B14" s="38"/>
      <c r="C14" s="39"/>
      <c r="D14" s="40"/>
      <c r="E14" s="40"/>
      <c r="F14" s="40"/>
      <c r="G14" s="40">
        <f>SUM(G2:G13)</f>
        <v>77755.1148387097</v>
      </c>
      <c r="H14" s="41"/>
    </row>
    <row r="16" customHeight="1" spans="1:10">
      <c r="A16" s="15" t="s">
        <v>55</v>
      </c>
      <c r="B16" s="15" t="s">
        <v>154</v>
      </c>
      <c r="C16" s="16" t="s">
        <v>155</v>
      </c>
      <c r="D16" s="17" t="s">
        <v>156</v>
      </c>
      <c r="E16" s="18" t="s">
        <v>157</v>
      </c>
      <c r="F16" s="18" t="s">
        <v>158</v>
      </c>
      <c r="G16" s="18" t="s">
        <v>159</v>
      </c>
      <c r="H16" s="18" t="s">
        <v>160</v>
      </c>
      <c r="I16" s="43"/>
      <c r="J16" s="43" t="s">
        <v>162</v>
      </c>
    </row>
    <row r="17" ht="37" customHeight="1" spans="1:11">
      <c r="A17" s="19">
        <v>1</v>
      </c>
      <c r="B17" s="19" t="s">
        <v>189</v>
      </c>
      <c r="C17" s="34" t="s">
        <v>190</v>
      </c>
      <c r="D17" s="22">
        <f>2092.64/31*21</f>
        <v>1417.59483870968</v>
      </c>
      <c r="E17" s="22">
        <f>4756.1/31*21</f>
        <v>3221.87419354839</v>
      </c>
      <c r="F17" s="42" t="s">
        <v>191</v>
      </c>
      <c r="G17" s="22">
        <f>D17+E17</f>
        <v>4639.46903225806</v>
      </c>
      <c r="H17" s="24" t="s">
        <v>18</v>
      </c>
      <c r="I17" s="49">
        <v>21</v>
      </c>
      <c r="J17" s="49" t="s">
        <v>192</v>
      </c>
      <c r="K17" s="11" t="s">
        <v>98</v>
      </c>
    </row>
    <row r="18" customHeight="1" spans="7:7">
      <c r="G18" s="10">
        <f>G14-G17</f>
        <v>73115.6458064516</v>
      </c>
    </row>
  </sheetData>
  <mergeCells count="2">
    <mergeCell ref="B2:B12"/>
    <mergeCell ref="F2:F13"/>
  </mergeCells>
  <conditionalFormatting sqref="C5">
    <cfRule type="duplicateValues" dxfId="0" priority="3"/>
  </conditionalFormatting>
  <conditionalFormatting sqref="C9">
    <cfRule type="duplicateValues" dxfId="0" priority="2"/>
  </conditionalFormatting>
  <conditionalFormatting sqref="C11">
    <cfRule type="duplicateValues" dxfId="0" priority="1"/>
  </conditionalFormatting>
  <conditionalFormatting sqref="C2:C4">
    <cfRule type="duplicateValues" dxfId="0" priority="6"/>
  </conditionalFormatting>
  <conditionalFormatting sqref="C6:C8">
    <cfRule type="duplicateValues" dxfId="0" priority="7"/>
  </conditionalFormatting>
  <conditionalFormatting sqref="C2:C4 C6:C8">
    <cfRule type="duplicateValues" dxfId="0" priority="4"/>
  </conditionalFormatting>
  <pageMargins left="0.75" right="0.75" top="1" bottom="1" header="0.5" footer="0.5"/>
  <headerFooter/>
  <ignoredErrors>
    <ignoredError sqref="D3"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E5" sqref="E5"/>
    </sheetView>
  </sheetViews>
  <sheetFormatPr defaultColWidth="9" defaultRowHeight="13.5" outlineLevelRow="4" outlineLevelCol="7"/>
  <cols>
    <col min="1" max="1" width="22.375" customWidth="1"/>
    <col min="6" max="6" width="22.25" customWidth="1"/>
    <col min="7" max="7" width="9" customWidth="1"/>
    <col min="8" max="8" width="9" hidden="1" customWidth="1"/>
    <col min="9" max="9" width="10.875" customWidth="1"/>
    <col min="10" max="10" width="32.25" style="1" customWidth="1"/>
  </cols>
  <sheetData>
    <row r="1" ht="23" customHeight="1" spans="1:8">
      <c r="A1" s="2" t="s">
        <v>193</v>
      </c>
      <c r="B1" s="2" t="s">
        <v>194</v>
      </c>
      <c r="C1" s="2">
        <v>15</v>
      </c>
      <c r="D1" s="2">
        <v>95</v>
      </c>
      <c r="E1" s="2">
        <v>1425</v>
      </c>
      <c r="F1" s="3" t="s">
        <v>195</v>
      </c>
      <c r="G1" s="4"/>
      <c r="H1" s="2">
        <v>128</v>
      </c>
    </row>
    <row r="2" ht="23" customHeight="1" spans="1:8">
      <c r="A2" s="2" t="s">
        <v>196</v>
      </c>
      <c r="B2" s="2" t="s">
        <v>197</v>
      </c>
      <c r="C2" s="2">
        <v>11</v>
      </c>
      <c r="D2" s="2">
        <v>95</v>
      </c>
      <c r="E2" s="2">
        <v>1045</v>
      </c>
      <c r="F2" s="3" t="s">
        <v>198</v>
      </c>
      <c r="G2" s="4"/>
      <c r="H2" s="2">
        <v>106.25</v>
      </c>
    </row>
    <row r="3" ht="23" customHeight="1" spans="1:8">
      <c r="A3" s="2" t="s">
        <v>199</v>
      </c>
      <c r="B3" s="2" t="s">
        <v>200</v>
      </c>
      <c r="C3" s="2">
        <v>15</v>
      </c>
      <c r="D3" s="2">
        <v>8</v>
      </c>
      <c r="E3" s="2">
        <v>120</v>
      </c>
      <c r="F3" s="3" t="s">
        <v>201</v>
      </c>
      <c r="G3" s="4"/>
      <c r="H3" s="2">
        <v>37.6</v>
      </c>
    </row>
    <row r="4" ht="23" customHeight="1" spans="1:8">
      <c r="A4" s="2" t="s">
        <v>202</v>
      </c>
      <c r="B4" s="2" t="s">
        <v>203</v>
      </c>
      <c r="C4" s="2">
        <v>3</v>
      </c>
      <c r="D4" s="2">
        <v>95</v>
      </c>
      <c r="E4" s="2">
        <v>285</v>
      </c>
      <c r="F4" s="3" t="s">
        <v>68</v>
      </c>
      <c r="G4" s="4"/>
      <c r="H4" s="2">
        <v>34</v>
      </c>
    </row>
    <row r="5" ht="23" customHeight="1" spans="1:8">
      <c r="A5" s="5"/>
      <c r="B5" s="5"/>
      <c r="C5" s="5"/>
      <c r="D5" s="5"/>
      <c r="E5" s="5">
        <f>SUM(E1:E4)</f>
        <v>2875</v>
      </c>
      <c r="F5" s="6" t="s">
        <v>204</v>
      </c>
      <c r="G5" s="7"/>
      <c r="H5"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2025.9结算</vt:lpstr>
      <vt:lpstr>9月回款</vt:lpstr>
      <vt:lpstr>9月日记账</vt:lpstr>
      <vt:lpstr>8月支援人员费用明细表</vt:lpstr>
      <vt:lpstr>云南垫付服装费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2025-10-28T02:23:36Z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2052-12.1.0.23125</vt:lpwstr>
  </property>
  <property fmtid="{D5CDD505-2E9C-101B-9397-08002B2CF9AE}" pid="4" name="KSOReadingLayout">
    <vt:bool>true</vt:bool>
  </property>
</Properties>
</file>