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528" windowHeight="10055" firstSheet="4" activeTab="6"/>
  </bookViews>
  <sheets>
    <sheet name="中高-竣工决算表" sheetId="2" r:id="rId1"/>
    <sheet name="附件资料1-收付款及税金" sheetId="5" r:id="rId2"/>
    <sheet name="附件资料2-成本" sheetId="6" r:id="rId3"/>
    <sheet name="协鹏款项汇总表" sheetId="3" r:id="rId4"/>
    <sheet name="协鹏对账单" sheetId="4" r:id="rId5"/>
    <sheet name="成本清单" sheetId="7" r:id="rId6"/>
    <sheet name="成本、收入利润计算表（以收款及付款计算）" sheetId="8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收款总金额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供应商实际成本</t>
        </r>
      </text>
    </comment>
    <comment ref="E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应收款金额</t>
        </r>
      </text>
    </comment>
  </commentList>
</comments>
</file>

<file path=xl/comments2.xml><?xml version="1.0" encoding="utf-8"?>
<comments xmlns="http://schemas.openxmlformats.org/spreadsheetml/2006/main">
  <authors>
    <author>WDMC</author>
  </authors>
  <commentList>
    <comment ref="D7" authorId="0">
      <text>
        <r>
          <rPr>
            <b/>
            <sz val="9"/>
            <rFont val="宋体"/>
            <charset val="134"/>
          </rPr>
          <t>WDMC:</t>
        </r>
        <r>
          <rPr>
            <sz val="9"/>
            <rFont val="宋体"/>
            <charset val="134"/>
          </rPr>
          <t xml:space="preserve">
应支付金额</t>
        </r>
      </text>
    </comment>
  </commentList>
</comments>
</file>

<file path=xl/sharedStrings.xml><?xml version="1.0" encoding="utf-8"?>
<sst xmlns="http://schemas.openxmlformats.org/spreadsheetml/2006/main" count="204" uniqueCount="149">
  <si>
    <t>轻纺信息大楼环线景观提升改造施工项目（二次）-竣工决算表</t>
  </si>
  <si>
    <t>序号</t>
  </si>
  <si>
    <t>类型</t>
  </si>
  <si>
    <t>金额</t>
  </si>
  <si>
    <t>取数来源</t>
  </si>
  <si>
    <t>收入</t>
  </si>
  <si>
    <t>协鹏款项汇总表</t>
  </si>
  <si>
    <t>成本（协鹏扣除税金及管理费）</t>
  </si>
  <si>
    <t>协鹏款项汇总表（已减进项）</t>
  </si>
  <si>
    <t>成本（中高私户预缴纳税金）</t>
  </si>
  <si>
    <t>附件资料1-收付款及税金（预缴税款31518已减掉）</t>
  </si>
  <si>
    <t>成本（中高公户开劳务发票缴纳税金）</t>
  </si>
  <si>
    <t>清单明细表</t>
  </si>
  <si>
    <t>成本（供应商实际款项及报销）</t>
  </si>
  <si>
    <t>附件资料2-成本+清单明细表</t>
  </si>
  <si>
    <t>实际利润</t>
  </si>
  <si>
    <t>协鹏收款</t>
  </si>
  <si>
    <t>协鹏付款</t>
  </si>
  <si>
    <t>中高付款</t>
  </si>
  <si>
    <t>税金</t>
  </si>
  <si>
    <t>中高收款</t>
  </si>
  <si>
    <t>质保金</t>
  </si>
  <si>
    <t>中高已同步转协鹏</t>
  </si>
  <si>
    <t>报销成本（含冲备用金）</t>
  </si>
  <si>
    <t>成本入账</t>
  </si>
  <si>
    <t>协鹏可抵扣进项税</t>
  </si>
  <si>
    <t>协鹏缴税、手续费</t>
  </si>
  <si>
    <t>管理费</t>
  </si>
  <si>
    <t>实际款项小计（剔除税费）</t>
  </si>
  <si>
    <t>预交税金12%</t>
  </si>
  <si>
    <t>供应商已开票协鹏已支付金额</t>
  </si>
  <si>
    <t>剩余未支付金额</t>
  </si>
  <si>
    <t>中高已开票协鹏未支付金额</t>
  </si>
  <si>
    <t>公对公</t>
  </si>
  <si>
    <t>欠成本发票金额</t>
  </si>
  <si>
    <t>已提供</t>
  </si>
  <si>
    <t>协鹏还需对私支付金额</t>
  </si>
  <si>
    <t>私对私</t>
  </si>
  <si>
    <t>对账单（协鹏对轻纺）</t>
  </si>
  <si>
    <t>内容</t>
  </si>
  <si>
    <t>日期</t>
  </si>
  <si>
    <t>支出单位</t>
  </si>
  <si>
    <t>收入单位</t>
  </si>
  <si>
    <t>备注</t>
  </si>
  <si>
    <t>税点</t>
  </si>
  <si>
    <t>说明</t>
  </si>
  <si>
    <t>进项税</t>
  </si>
  <si>
    <t>实际成本</t>
  </si>
  <si>
    <t>工程款</t>
  </si>
  <si>
    <t>2025.10.31</t>
  </si>
  <si>
    <t>轻纺职业学院</t>
  </si>
  <si>
    <t>云南协鹏建设工程有限公司</t>
  </si>
  <si>
    <t>进度款</t>
  </si>
  <si>
    <t>预缴税</t>
  </si>
  <si>
    <t>2025.9.28</t>
  </si>
  <si>
    <t>奎艳美</t>
  </si>
  <si>
    <t xml:space="preserve">余海维，卡号：623052 2890017635673，开户行：农行武走县支行 </t>
  </si>
  <si>
    <t>预缴税（262650.00*12%=31518元）</t>
  </si>
  <si>
    <t>外经预缴税</t>
  </si>
  <si>
    <t>2025.10.21</t>
  </si>
  <si>
    <t>吴秋波办理（奎艳美账户）</t>
  </si>
  <si>
    <t>国家税务总局安宁市税务局</t>
  </si>
  <si>
    <t>增值税和附加税预缴</t>
  </si>
  <si>
    <t>劳务</t>
  </si>
  <si>
    <t>盘龙区绿佳园林绿化店</t>
  </si>
  <si>
    <t>普票</t>
  </si>
  <si>
    <t>建筑材料</t>
  </si>
  <si>
    <t>楚雄市荣龙建材经营部</t>
  </si>
  <si>
    <t>草坪</t>
  </si>
  <si>
    <t>安宁绿之家草坪种植园</t>
  </si>
  <si>
    <t>免税</t>
  </si>
  <si>
    <t>自产农产品</t>
  </si>
  <si>
    <t>苗木1</t>
  </si>
  <si>
    <t>宜良紫悦种植园</t>
  </si>
  <si>
    <t>苗木2</t>
  </si>
  <si>
    <t>宜良宁林苗圃</t>
  </si>
  <si>
    <t>机械租赁</t>
  </si>
  <si>
    <t>安宁炬衡设备租赁经营部</t>
  </si>
  <si>
    <t>专票</t>
  </si>
  <si>
    <t>代开5000</t>
  </si>
  <si>
    <t>中高后勤服务（云南）有限公司</t>
  </si>
  <si>
    <t>增值</t>
  </si>
  <si>
    <t>环保税</t>
  </si>
  <si>
    <t>张艳稳</t>
  </si>
  <si>
    <t xml:space="preserve">余海维，卡号：623052 2890017635673，开户行：农行武定县支行 </t>
  </si>
  <si>
    <t>结算款</t>
  </si>
  <si>
    <t>苗木3</t>
  </si>
  <si>
    <t>昆明晋宁区箐卉园景种植园</t>
  </si>
  <si>
    <t>实际入账成本</t>
  </si>
  <si>
    <t>利润</t>
  </si>
  <si>
    <t>成本清单</t>
  </si>
  <si>
    <t>供货单位</t>
  </si>
  <si>
    <t>支付金额</t>
  </si>
  <si>
    <t>代开金额</t>
  </si>
  <si>
    <t>成本16700元，多开发票手续费800元</t>
  </si>
  <si>
    <t>已转入财务指定账号，账不过公司</t>
  </si>
  <si>
    <t>宜良紫悦种植园/宜良宜宁</t>
  </si>
  <si>
    <t>苗木款46130元，多开发票手续费1040.2元</t>
  </si>
  <si>
    <t>账不过公司</t>
  </si>
  <si>
    <t>砖砌体</t>
  </si>
  <si>
    <t>机械</t>
  </si>
  <si>
    <t>预支付5000元，已转入财务指定账号，账不过公司</t>
  </si>
  <si>
    <t>宜良宜宁</t>
  </si>
  <si>
    <t>直接支付</t>
  </si>
  <si>
    <t>购买石头</t>
  </si>
  <si>
    <t>走中高报销</t>
  </si>
  <si>
    <t>充备用金</t>
  </si>
  <si>
    <t>零星费用（材料、餐费）</t>
  </si>
  <si>
    <t>冲备用金</t>
  </si>
  <si>
    <t>米兰、仿真花</t>
  </si>
  <si>
    <t>（含代开发票300元手续费），走中高报销</t>
  </si>
  <si>
    <t>零星费用</t>
  </si>
  <si>
    <t>腐殖土、软珍、花箱（走中高报销）</t>
  </si>
  <si>
    <t>张艳稳报销</t>
  </si>
  <si>
    <t>税</t>
  </si>
  <si>
    <t>中高开票税金</t>
  </si>
  <si>
    <t>奎总支付税金，其中6235.51元有回执，其它无回执，协鹏提供的金额。</t>
  </si>
  <si>
    <t>剔除我司已交税款</t>
  </si>
  <si>
    <t>合计</t>
  </si>
  <si>
    <t>成本合计</t>
  </si>
  <si>
    <t>对账单（收入、成本、利润计算）</t>
  </si>
  <si>
    <t>收入（工程款）</t>
  </si>
  <si>
    <t>收入（抵扣进项）</t>
  </si>
  <si>
    <t>小计</t>
  </si>
  <si>
    <t>苗木、草坪成本</t>
  </si>
  <si>
    <t>劳务成本</t>
  </si>
  <si>
    <t>机械成本</t>
  </si>
  <si>
    <t>专票（取不含税成本）</t>
  </si>
  <si>
    <t>砖砌体土建成本</t>
  </si>
  <si>
    <t>其它走中高报销材料费及零星费用</t>
  </si>
  <si>
    <t>有审批凭证</t>
  </si>
  <si>
    <t>管理费（协鹏扣）</t>
  </si>
  <si>
    <t>协鹏缴税、手续费（协鹏扣）</t>
  </si>
  <si>
    <t>预交税金（私户支付）</t>
  </si>
  <si>
    <t>交到协鹏</t>
  </si>
  <si>
    <t>协鹏转中高</t>
  </si>
  <si>
    <t>转入中高公账</t>
  </si>
  <si>
    <t>代开苗木、草坪发票</t>
  </si>
  <si>
    <t>转入财务指定账号</t>
  </si>
  <si>
    <t>备用金转入</t>
  </si>
  <si>
    <t>代开发票</t>
  </si>
  <si>
    <t>转入财务指定微信</t>
  </si>
  <si>
    <t>多余款项</t>
  </si>
  <si>
    <t>转入出纳卡（奎总）</t>
  </si>
  <si>
    <t>实际转入中高及财务指定</t>
  </si>
  <si>
    <t>中高支付税金</t>
  </si>
  <si>
    <t>吴秋波报销</t>
  </si>
  <si>
    <t>中高税金</t>
  </si>
  <si>
    <t>实际净利润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</si>
</sst>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1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14" borderId="8">
      <alignment vertical="center"/>
    </xf>
    <xf numFmtId="0" fontId="16" fillId="15" borderId="9">
      <alignment vertical="center"/>
    </xf>
    <xf numFmtId="0" fontId="17" fillId="15" borderId="8">
      <alignment vertical="center"/>
    </xf>
    <xf numFmtId="0" fontId="18" fillId="1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  <xf numFmtId="0" fontId="24" fillId="4" borderId="0">
      <alignment vertical="center"/>
    </xf>
    <xf numFmtId="0" fontId="25" fillId="36" borderId="0">
      <alignment vertical="center"/>
    </xf>
    <xf numFmtId="0" fontId="25" fillId="37" borderId="0">
      <alignment vertical="center"/>
    </xf>
    <xf numFmtId="0" fontId="24" fillId="38" borderId="0">
      <alignment vertical="center"/>
    </xf>
    <xf numFmtId="0" fontId="24" fillId="39" borderId="0">
      <alignment vertical="center"/>
    </xf>
    <xf numFmtId="0" fontId="25" fillId="40" borderId="0">
      <alignment vertical="center"/>
    </xf>
    <xf numFmtId="0" fontId="25" fillId="41" borderId="0">
      <alignment vertical="center"/>
    </xf>
    <xf numFmtId="0" fontId="24" fillId="42" borderId="0">
      <alignment vertical="center"/>
    </xf>
  </cellStyleXfs>
  <cellXfs count="8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77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0" fillId="5" borderId="0" xfId="0" applyFill="1" applyAlignment="1">
      <alignment vertical="center"/>
    </xf>
    <xf numFmtId="177" fontId="0" fillId="5" borderId="0" xfId="0" applyNumberFormat="1" applyFill="1" applyAlignment="1">
      <alignment vertical="center"/>
    </xf>
    <xf numFmtId="177" fontId="0" fillId="5" borderId="0" xfId="0" applyNumberFormat="1" applyFill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8" borderId="0" xfId="0" applyNumberFormat="1" applyFill="1" applyAlignment="1">
      <alignment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177" fontId="0" fillId="8" borderId="1" xfId="0" applyNumberForma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9" borderId="0" xfId="0" applyFill="1" applyAlignment="1">
      <alignment horizontal="center" vertical="center"/>
    </xf>
    <xf numFmtId="176" fontId="0" fillId="9" borderId="0" xfId="0" applyNumberFormat="1" applyFill="1" applyAlignment="1">
      <alignment horizontal="center" vertical="center"/>
    </xf>
    <xf numFmtId="176" fontId="0" fillId="8" borderId="0" xfId="0" applyNumberForma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176" fontId="0" fillId="10" borderId="0" xfId="0" applyNumberForma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76" fontId="0" fillId="11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7" borderId="0" xfId="0" applyNumberForma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76" fontId="5" fillId="5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23.png"/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20320</xdr:colOff>
      <xdr:row>1</xdr:row>
      <xdr:rowOff>19050</xdr:rowOff>
    </xdr:from>
    <xdr:to>
      <xdr:col>7</xdr:col>
      <xdr:colOff>487680</xdr:colOff>
      <xdr:row>18</xdr:row>
      <xdr:rowOff>153035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" y="201930"/>
          <a:ext cx="5156835" cy="324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</xdr:colOff>
      <xdr:row>17</xdr:row>
      <xdr:rowOff>161925</xdr:rowOff>
    </xdr:from>
    <xdr:to>
      <xdr:col>7</xdr:col>
      <xdr:colOff>449580</xdr:colOff>
      <xdr:row>34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" y="3270885"/>
          <a:ext cx="5120005" cy="302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1</xdr:row>
      <xdr:rowOff>28575</xdr:rowOff>
    </xdr:from>
    <xdr:to>
      <xdr:col>18</xdr:col>
      <xdr:colOff>0</xdr:colOff>
      <xdr:row>15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73395" y="211455"/>
          <a:ext cx="5605780" cy="2626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18</xdr:col>
      <xdr:colOff>19050</xdr:colOff>
      <xdr:row>30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07050" y="2926080"/>
          <a:ext cx="5591175" cy="260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18</xdr:col>
      <xdr:colOff>19050</xdr:colOff>
      <xdr:row>46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07050" y="5669280"/>
          <a:ext cx="5591175" cy="276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18</xdr:col>
      <xdr:colOff>0</xdr:colOff>
      <xdr:row>61</xdr:row>
      <xdr:rowOff>161925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07050" y="8412480"/>
          <a:ext cx="5572125" cy="290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18</xdr:col>
      <xdr:colOff>57150</xdr:colOff>
      <xdr:row>78</xdr:row>
      <xdr:rowOff>9525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07050" y="11338560"/>
          <a:ext cx="5629275" cy="293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18</xdr:col>
      <xdr:colOff>57150</xdr:colOff>
      <xdr:row>94</xdr:row>
      <xdr:rowOff>76200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07050" y="14264640"/>
          <a:ext cx="5629275" cy="300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657225</xdr:colOff>
      <xdr:row>1</xdr:row>
      <xdr:rowOff>57150</xdr:rowOff>
    </xdr:from>
    <xdr:to>
      <xdr:col>24</xdr:col>
      <xdr:colOff>114300</xdr:colOff>
      <xdr:row>28</xdr:row>
      <xdr:rowOff>47625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796395" y="240030"/>
          <a:ext cx="3535045" cy="4928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36</xdr:row>
      <xdr:rowOff>0</xdr:rowOff>
    </xdr:from>
    <xdr:to>
      <xdr:col>7</xdr:col>
      <xdr:colOff>504825</xdr:colOff>
      <xdr:row>52</xdr:row>
      <xdr:rowOff>114300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525" y="6583680"/>
          <a:ext cx="5184775" cy="304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53</xdr:row>
      <xdr:rowOff>0</xdr:rowOff>
    </xdr:from>
    <xdr:to>
      <xdr:col>7</xdr:col>
      <xdr:colOff>504825</xdr:colOff>
      <xdr:row>66</xdr:row>
      <xdr:rowOff>38100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525" y="9692640"/>
          <a:ext cx="5184775" cy="241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4</xdr:col>
      <xdr:colOff>571500</xdr:colOff>
      <xdr:row>92</xdr:row>
      <xdr:rowOff>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0" y="12252960"/>
          <a:ext cx="3409315" cy="457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29</xdr:row>
      <xdr:rowOff>0</xdr:rowOff>
    </xdr:from>
    <xdr:to>
      <xdr:col>24</xdr:col>
      <xdr:colOff>323850</xdr:colOff>
      <xdr:row>55</xdr:row>
      <xdr:rowOff>85725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796395" y="5303520"/>
          <a:ext cx="3744595" cy="484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20320</xdr:colOff>
      <xdr:row>118</xdr:row>
      <xdr:rowOff>28575</xdr:rowOff>
    </xdr:from>
    <xdr:to>
      <xdr:col>4</xdr:col>
      <xdr:colOff>524510</xdr:colOff>
      <xdr:row>145</xdr:row>
      <xdr:rowOff>114300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0320" y="21608415"/>
          <a:ext cx="3342005" cy="502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92</xdr:row>
      <xdr:rowOff>0</xdr:rowOff>
    </xdr:from>
    <xdr:to>
      <xdr:col>4</xdr:col>
      <xdr:colOff>514985</xdr:colOff>
      <xdr:row>118</xdr:row>
      <xdr:rowOff>0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525" y="16824960"/>
          <a:ext cx="3343275" cy="475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146</xdr:row>
      <xdr:rowOff>0</xdr:rowOff>
    </xdr:from>
    <xdr:to>
      <xdr:col>4</xdr:col>
      <xdr:colOff>475615</xdr:colOff>
      <xdr:row>162</xdr:row>
      <xdr:rowOff>161925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525" y="26700480"/>
          <a:ext cx="3303905" cy="308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56</xdr:row>
      <xdr:rowOff>0</xdr:rowOff>
    </xdr:from>
    <xdr:to>
      <xdr:col>29</xdr:col>
      <xdr:colOff>28575</xdr:colOff>
      <xdr:row>81</xdr:row>
      <xdr:rowOff>133350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796395" y="10241280"/>
          <a:ext cx="6535420" cy="470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82</xdr:row>
      <xdr:rowOff>0</xdr:rowOff>
    </xdr:from>
    <xdr:to>
      <xdr:col>29</xdr:col>
      <xdr:colOff>323850</xdr:colOff>
      <xdr:row>111</xdr:row>
      <xdr:rowOff>38100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796395" y="14996160"/>
          <a:ext cx="6830695" cy="534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97</xdr:row>
      <xdr:rowOff>95250</xdr:rowOff>
    </xdr:from>
    <xdr:to>
      <xdr:col>19</xdr:col>
      <xdr:colOff>10160</xdr:colOff>
      <xdr:row>116</xdr:row>
      <xdr:rowOff>9525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592445" y="17834610"/>
          <a:ext cx="6214110" cy="3388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39370</xdr:colOff>
      <xdr:row>1</xdr:row>
      <xdr:rowOff>106045</xdr:rowOff>
    </xdr:from>
    <xdr:to>
      <xdr:col>5</xdr:col>
      <xdr:colOff>410845</xdr:colOff>
      <xdr:row>26</xdr:row>
      <xdr:rowOff>116205</xdr:rowOff>
    </xdr:to>
    <xdr:pic>
      <xdr:nvPicPr>
        <xdr:cNvPr id="2" name="图片 1" descr="20吴秋波报销成本5840凭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0" y="288925"/>
          <a:ext cx="4109720" cy="4582160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1</xdr:row>
      <xdr:rowOff>161925</xdr:rowOff>
    </xdr:from>
    <xdr:to>
      <xdr:col>12</xdr:col>
      <xdr:colOff>381635</xdr:colOff>
      <xdr:row>27</xdr:row>
      <xdr:rowOff>19050</xdr:rowOff>
    </xdr:to>
    <xdr:pic>
      <xdr:nvPicPr>
        <xdr:cNvPr id="3" name="图片 2" descr="21吴秋波支付零星费用报销凭证6708.79元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0220" y="344805"/>
          <a:ext cx="4140200" cy="4612005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1</xdr:row>
      <xdr:rowOff>57150</xdr:rowOff>
    </xdr:from>
    <xdr:to>
      <xdr:col>19</xdr:col>
      <xdr:colOff>171450</xdr:colOff>
      <xdr:row>27</xdr:row>
      <xdr:rowOff>57785</xdr:rowOff>
    </xdr:to>
    <xdr:pic>
      <xdr:nvPicPr>
        <xdr:cNvPr id="4" name="图片 3" descr="22张艳稳报销腐殖土及烟费用2584元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58835" y="240030"/>
          <a:ext cx="4091940" cy="475551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180975</xdr:colOff>
      <xdr:row>1</xdr:row>
      <xdr:rowOff>0</xdr:rowOff>
    </xdr:from>
    <xdr:to>
      <xdr:col>26</xdr:col>
      <xdr:colOff>0</xdr:colOff>
      <xdr:row>27</xdr:row>
      <xdr:rowOff>18415</xdr:rowOff>
    </xdr:to>
    <xdr:pic>
      <xdr:nvPicPr>
        <xdr:cNvPr id="5" name="图片 4" descr="23吴秋波报销零星费用17886.8元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560300" y="182880"/>
          <a:ext cx="4139565" cy="4773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o3yofyk07bzg29_924d\msg\file\2025-12\&#23545;&#36134;&#2133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方财务对账单"/>
      <sheetName val="总表"/>
      <sheetName val="协鹏成本收入"/>
      <sheetName val="实际成本"/>
      <sheetName val="Sheet2"/>
      <sheetName val="对乙支付"/>
    </sheetNames>
    <sheetDataSet>
      <sheetData sheetId="0" refreshError="1"/>
      <sheetData sheetId="1" refreshError="1"/>
      <sheetData sheetId="2" refreshError="1"/>
      <sheetData sheetId="3" refreshError="1">
        <row r="3">
          <cell r="D3">
            <v>17500</v>
          </cell>
        </row>
        <row r="3">
          <cell r="F3">
            <v>39200</v>
          </cell>
        </row>
        <row r="4">
          <cell r="D4">
            <v>47170.2</v>
          </cell>
        </row>
        <row r="4">
          <cell r="F4">
            <v>50969.8</v>
          </cell>
        </row>
        <row r="6">
          <cell r="D6">
            <v>24597.5</v>
          </cell>
        </row>
        <row r="8">
          <cell r="D8">
            <v>5840</v>
          </cell>
        </row>
        <row r="14">
          <cell r="D14">
            <v>107</v>
          </cell>
        </row>
        <row r="15">
          <cell r="D15">
            <v>37753.51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9"/>
  <sheetViews>
    <sheetView workbookViewId="0">
      <selection activeCell="C8" sqref="C8"/>
    </sheetView>
  </sheetViews>
  <sheetFormatPr defaultColWidth="16.4444444444444" defaultRowHeight="28" customHeight="1" outlineLevelCol="6"/>
  <cols>
    <col min="1" max="1" width="5.86111111111111" style="72" customWidth="1"/>
    <col min="2" max="2" width="37.0555555555556" style="72" customWidth="1"/>
    <col min="3" max="3" width="18.6944444444444" style="73" customWidth="1"/>
    <col min="4" max="4" width="49.6759259259259" style="72" customWidth="1"/>
    <col min="5" max="5" width="16.4444444444444" style="74" customWidth="1"/>
    <col min="6" max="6" width="16.4444444444444" style="72" customWidth="1"/>
    <col min="7" max="7" width="16.4444444444444" style="74" customWidth="1"/>
    <col min="8" max="16383" width="16.4444444444444" style="72" customWidth="1"/>
    <col min="16384" max="16384" width="16.4444444444444" style="72"/>
  </cols>
  <sheetData>
    <row r="1" customHeight="1" spans="1:7">
      <c r="A1" s="75" t="s">
        <v>0</v>
      </c>
      <c r="B1" s="75"/>
      <c r="C1" s="75"/>
      <c r="D1" s="75"/>
    </row>
    <row r="2" s="72" customFormat="1" customHeight="1" spans="1:7">
      <c r="A2" s="76" t="s">
        <v>1</v>
      </c>
      <c r="B2" s="76" t="s">
        <v>2</v>
      </c>
      <c r="C2" s="77" t="s">
        <v>3</v>
      </c>
      <c r="D2" s="76" t="s">
        <v>4</v>
      </c>
      <c r="E2" s="74"/>
      <c r="F2" s="74"/>
      <c r="G2" s="74"/>
    </row>
    <row r="3" s="72" customFormat="1" customHeight="1" spans="1:7">
      <c r="A3" s="78">
        <v>1</v>
      </c>
      <c r="B3" s="78" t="s">
        <v>5</v>
      </c>
      <c r="C3" s="79">
        <f>协鹏款项汇总表!C2</f>
        <v>305329.14</v>
      </c>
      <c r="D3" s="78" t="s">
        <v>6</v>
      </c>
      <c r="E3" s="74"/>
      <c r="G3" s="74"/>
    </row>
    <row r="4" s="72" customFormat="1" customHeight="1" spans="1:7">
      <c r="A4" s="78">
        <v>2</v>
      </c>
      <c r="B4" s="78" t="s">
        <v>7</v>
      </c>
      <c r="C4" s="79">
        <f>协鹏款项汇总表!C5+协鹏款项汇总表!C6-协鹏款项汇总表!C4</f>
        <v>30079.1365510037</v>
      </c>
      <c r="D4" s="78" t="s">
        <v>8</v>
      </c>
      <c r="E4" s="74">
        <f>C3-C4</f>
        <v>275250.003448996</v>
      </c>
      <c r="F4" s="72">
        <v>31518</v>
      </c>
      <c r="G4" s="74">
        <f>E4+F4</f>
        <v>306768.003448996</v>
      </c>
    </row>
    <row r="5" s="72" customFormat="1" customHeight="1" spans="1:7">
      <c r="A5" s="78">
        <v>3</v>
      </c>
      <c r="B5" s="78" t="s">
        <v>9</v>
      </c>
      <c r="C5" s="79">
        <f>'附件资料1-收付款及税金'!U1-31518</f>
        <v>6342.51</v>
      </c>
      <c r="D5" s="78" t="s">
        <v>10</v>
      </c>
      <c r="E5" s="74">
        <f>协鹏对账单!K6+协鹏对账单!K7+协鹏对账单!G8+协鹏对账单!G11</f>
        <v>115742.7</v>
      </c>
      <c r="G5" s="74"/>
    </row>
    <row r="6" s="72" customFormat="1" customHeight="1" spans="1:7">
      <c r="A6" s="78">
        <v>4</v>
      </c>
      <c r="B6" s="78" t="s">
        <v>11</v>
      </c>
      <c r="C6" s="79">
        <f>协鹏对账单!J12</f>
        <v>5697.24770642202</v>
      </c>
      <c r="D6" s="78" t="s">
        <v>12</v>
      </c>
      <c r="E6" s="74">
        <f>G4-E5</f>
        <v>191025.303448996</v>
      </c>
      <c r="F6" s="72">
        <f>E6-'成本、收入利润计算表（以收款及付款计算）'!C20</f>
        <v>0</v>
      </c>
      <c r="G6" s="74"/>
    </row>
    <row r="7" s="72" customFormat="1" customHeight="1" spans="1:7">
      <c r="A7" s="78">
        <v>5</v>
      </c>
      <c r="B7" s="78" t="s">
        <v>13</v>
      </c>
      <c r="C7" s="79">
        <f>'附件资料2-成本'!C1+协鹏对账单!K6+协鹏对账单!K7+协鹏对账单!G8+协鹏对账单!G11</f>
        <v>148762.29</v>
      </c>
      <c r="D7" s="78" t="s">
        <v>14</v>
      </c>
      <c r="E7" s="74"/>
      <c r="G7" s="74"/>
    </row>
    <row r="8" s="72" customFormat="1" customHeight="1" spans="1:7">
      <c r="A8" s="78">
        <v>6</v>
      </c>
      <c r="B8" s="78" t="s">
        <v>15</v>
      </c>
      <c r="C8" s="79">
        <f>C3-C4-C5-C6-C7</f>
        <v>114447.955742574</v>
      </c>
      <c r="D8" s="78"/>
      <c r="E8" s="74"/>
      <c r="F8" s="74">
        <f>C8-'成本、收入利润计算表（以收款及付款计算）'!C24</f>
        <v>0.00229357802891172</v>
      </c>
      <c r="G8" s="74"/>
    </row>
    <row r="9" s="72" customFormat="1" customHeight="1" spans="1:7">
      <c r="C9" s="73"/>
      <c r="E9" s="74"/>
      <c r="G9" s="74"/>
    </row>
  </sheetData>
  <mergeCells count="1">
    <mergeCell ref="A1:D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97"/>
  <sheetViews>
    <sheetView workbookViewId="0">
      <selection activeCell="H19" sqref="H19"/>
    </sheetView>
  </sheetViews>
  <sheetFormatPr defaultColWidth="9" defaultRowHeight="14.4"/>
  <cols>
    <col min="2" max="2" width="14.3796296296296" customWidth="1"/>
    <col min="9" max="9" width="4.37962962962963" customWidth="1"/>
    <col min="11" max="11" width="9.25"/>
    <col min="20" max="20" width="12.5" customWidth="1"/>
    <col min="21" max="21" width="10.3796296296296"/>
  </cols>
  <sheetData>
    <row r="1" spans="1:22">
      <c r="A1" s="68" t="s">
        <v>16</v>
      </c>
      <c r="B1" s="68">
        <f>262650+42679.14</f>
        <v>305329.14</v>
      </c>
      <c r="J1" s="69" t="s">
        <v>17</v>
      </c>
      <c r="K1" s="69">
        <f>6920+47740+50400+23475+56700+8000</f>
        <v>193235</v>
      </c>
      <c r="T1" s="70" t="s">
        <v>18</v>
      </c>
      <c r="U1" s="67">
        <f>107+31518+5397.59+837.92</f>
        <v>37860.51</v>
      </c>
      <c r="V1" s="47" t="s">
        <v>19</v>
      </c>
    </row>
    <row r="36" spans="1:2">
      <c r="A36" s="71" t="s">
        <v>20</v>
      </c>
      <c r="B36" s="71">
        <f>69000+19935.5+6920+50969.8+39200+5000</f>
        <v>191025.3</v>
      </c>
    </row>
    <row r="97" spans="10:13">
      <c r="J97" s="67" t="s">
        <v>21</v>
      </c>
      <c r="K97" s="67">
        <v>9105.87</v>
      </c>
      <c r="L97" s="67" t="s">
        <v>22</v>
      </c>
      <c r="M97" s="67"/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1"/>
  <sheetViews>
    <sheetView workbookViewId="0">
      <selection activeCell="C1" sqref="C1"/>
    </sheetView>
  </sheetViews>
  <sheetFormatPr defaultColWidth="9" defaultRowHeight="14.4" outlineLevelCol="2"/>
  <cols>
    <col min="1" max="1" width="17.1296296296296" customWidth="1"/>
    <col min="3" max="3" width="10.3796296296296"/>
  </cols>
  <sheetData>
    <row r="1" spans="1:3">
      <c r="A1" s="66" t="s">
        <v>23</v>
      </c>
      <c r="B1" s="66"/>
      <c r="C1" s="67">
        <f>5840+6708.79+2584+17886.8</f>
        <v>33019.59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H9" sqref="H9"/>
    </sheetView>
  </sheetViews>
  <sheetFormatPr defaultColWidth="16.4444444444444" defaultRowHeight="28" customHeight="1" outlineLevelCol="6"/>
  <cols>
    <col min="1" max="1" width="9.55555555555556" style="31" customWidth="1"/>
    <col min="2" max="2" width="28.3333333333333" style="31" customWidth="1"/>
    <col min="3" max="3" width="16.4444444444444" style="53" customWidth="1"/>
    <col min="4" max="4" width="22.8888888888889" style="31" customWidth="1"/>
    <col min="5" max="16384" width="16.4444444444444" style="31" customWidth="1"/>
  </cols>
  <sheetData>
    <row r="1" customHeight="1" spans="1:7">
      <c r="A1" s="54" t="s">
        <v>1</v>
      </c>
      <c r="B1" s="54" t="s">
        <v>2</v>
      </c>
      <c r="C1" s="55" t="s">
        <v>3</v>
      </c>
      <c r="G1" s="56"/>
    </row>
    <row r="2" customHeight="1" spans="1:7">
      <c r="A2" s="31">
        <v>1</v>
      </c>
      <c r="B2" s="31" t="s">
        <v>5</v>
      </c>
      <c r="C2" s="53">
        <f>协鹏对账单!F3+协鹏对账单!F15</f>
        <v>305329.14</v>
      </c>
    </row>
    <row r="3" customHeight="1" spans="1:7">
      <c r="A3" s="31">
        <v>2</v>
      </c>
      <c r="B3" s="57" t="s">
        <v>24</v>
      </c>
      <c r="C3" s="58">
        <f>协鹏对账单!K16</f>
        <v>273982.826551004</v>
      </c>
    </row>
    <row r="4" customHeight="1" spans="1:7">
      <c r="A4" s="31">
        <v>3</v>
      </c>
      <c r="B4" s="57" t="s">
        <v>25</v>
      </c>
      <c r="C4" s="58">
        <f>SUM(协鹏对账单!J6:J12)</f>
        <v>5929.67344899627</v>
      </c>
    </row>
    <row r="5" customHeight="1" spans="1:7">
      <c r="A5" s="31">
        <v>4</v>
      </c>
      <c r="B5" s="31" t="s">
        <v>26</v>
      </c>
      <c r="C5" s="53">
        <v>29828.81</v>
      </c>
    </row>
    <row r="6" customHeight="1" spans="1:7">
      <c r="A6" s="31">
        <v>5</v>
      </c>
      <c r="B6" s="31" t="s">
        <v>27</v>
      </c>
      <c r="C6" s="59">
        <v>6180</v>
      </c>
    </row>
    <row r="7" customHeight="1" spans="1:7">
      <c r="A7" s="31">
        <v>6</v>
      </c>
      <c r="B7" s="60" t="s">
        <v>28</v>
      </c>
      <c r="C7" s="61">
        <f>C2+C4-C5-C6</f>
        <v>275250.003448996</v>
      </c>
      <c r="D7" s="53">
        <f>C7+C8</f>
        <v>306768.003448996</v>
      </c>
    </row>
    <row r="8" customHeight="1" spans="1:7">
      <c r="A8" s="31">
        <v>7</v>
      </c>
      <c r="B8" s="62" t="s">
        <v>29</v>
      </c>
      <c r="C8" s="63">
        <v>31518</v>
      </c>
      <c r="D8" s="53"/>
    </row>
    <row r="9" customHeight="1" spans="1:7">
      <c r="A9" s="31">
        <v>8</v>
      </c>
      <c r="B9" s="52" t="s">
        <v>30</v>
      </c>
      <c r="C9" s="64">
        <v>210912.5</v>
      </c>
    </row>
    <row r="10" customFormat="1" customHeight="1" spans="1:7">
      <c r="A10" s="31">
        <v>9</v>
      </c>
      <c r="B10" s="52" t="s">
        <v>31</v>
      </c>
      <c r="C10" s="64">
        <f>D7-C9</f>
        <v>95855.5034489963</v>
      </c>
      <c r="D10" s="31"/>
    </row>
    <row r="11" s="51" customFormat="1" customHeight="1" spans="1:7">
      <c r="A11" s="31">
        <v>10</v>
      </c>
      <c r="B11" s="51" t="s">
        <v>32</v>
      </c>
      <c r="C11" s="65">
        <v>69000</v>
      </c>
      <c r="D11" s="51" t="s">
        <v>33</v>
      </c>
    </row>
    <row r="12" s="52" customFormat="1" customHeight="1" spans="1:7">
      <c r="A12" s="31">
        <v>11</v>
      </c>
      <c r="B12" s="52" t="s">
        <v>34</v>
      </c>
      <c r="C12" s="64">
        <f>305329.14*92%-协鹏对账单!K16</f>
        <v>6919.98224899627</v>
      </c>
      <c r="D12" s="52" t="s">
        <v>35</v>
      </c>
    </row>
    <row r="13" s="52" customFormat="1" customHeight="1" spans="1:7">
      <c r="A13" s="31">
        <v>12</v>
      </c>
      <c r="B13" s="52" t="s">
        <v>36</v>
      </c>
      <c r="C13" s="64">
        <f>C10-C11-C12</f>
        <v>19935.5212</v>
      </c>
      <c r="D13" s="52" t="s">
        <v>37</v>
      </c>
    </row>
    <row r="14" s="52" customFormat="1" customHeight="1" spans="1:7">
      <c r="A14" s="31"/>
      <c r="C14" s="64"/>
    </row>
    <row r="15" s="52" customFormat="1" customHeight="1" spans="1:7">
      <c r="A15" s="31"/>
      <c r="C15" s="64"/>
    </row>
    <row r="16" s="52" customFormat="1" customHeight="1" spans="1:7">
      <c r="A16" s="31"/>
      <c r="C16" s="64"/>
    </row>
  </sheetData>
  <mergeCells count="1">
    <mergeCell ref="D7:D8"/>
  </mergeCells>
  <pageMargins left="0.7" right="0.7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G11" sqref="G11"/>
    </sheetView>
  </sheetViews>
  <sheetFormatPr defaultColWidth="9" defaultRowHeight="14.4"/>
  <cols>
    <col min="1" max="1" width="5.55555555555556" style="31" customWidth="1"/>
    <col min="2" max="2" width="15.6666666666667" style="31" customWidth="1"/>
    <col min="3" max="3" width="12.8888888888889" style="31" customWidth="1"/>
    <col min="4" max="4" width="27" style="31" customWidth="1"/>
    <col min="5" max="5" width="31.3333333333333" style="31" customWidth="1"/>
    <col min="6" max="6" width="11.7777777777778" style="31" customWidth="1"/>
    <col min="7" max="7" width="27.1111111111111" style="31" customWidth="1"/>
    <col min="8" max="8" width="7.11111111111111" style="31" customWidth="1"/>
    <col min="9" max="9" width="11.8888888888889" customWidth="1"/>
    <col min="10" max="10" width="14.3333333333333" style="34" customWidth="1"/>
    <col min="11" max="11" width="11.8888888888889" style="34"/>
  </cols>
  <sheetData>
    <row r="1" ht="29" customHeight="1" spans="1:12">
      <c r="A1" s="17" t="s">
        <v>38</v>
      </c>
      <c r="B1" s="17"/>
      <c r="C1" s="17"/>
      <c r="D1" s="17"/>
      <c r="E1" s="17"/>
      <c r="F1" s="17"/>
      <c r="G1" s="17"/>
      <c r="H1" s="17"/>
      <c r="I1" s="17"/>
    </row>
    <row r="2" s="31" customFormat="1" ht="23" customHeight="1" spans="1:12">
      <c r="A2" s="19" t="s">
        <v>1</v>
      </c>
      <c r="B2" s="19" t="s">
        <v>39</v>
      </c>
      <c r="C2" s="19" t="s">
        <v>40</v>
      </c>
      <c r="D2" s="19" t="s">
        <v>41</v>
      </c>
      <c r="E2" s="19" t="s">
        <v>42</v>
      </c>
      <c r="F2" s="19" t="s">
        <v>3</v>
      </c>
      <c r="G2" s="19" t="s">
        <v>43</v>
      </c>
      <c r="H2" s="19" t="s">
        <v>44</v>
      </c>
      <c r="I2" s="19" t="s">
        <v>45</v>
      </c>
      <c r="J2" s="35" t="s">
        <v>46</v>
      </c>
      <c r="K2" s="35" t="s">
        <v>47</v>
      </c>
    </row>
    <row r="3" s="31" customFormat="1" ht="23" customHeight="1" spans="1:12">
      <c r="A3" s="23">
        <v>1</v>
      </c>
      <c r="B3" s="23" t="s">
        <v>48</v>
      </c>
      <c r="C3" s="23" t="s">
        <v>49</v>
      </c>
      <c r="D3" s="23" t="s">
        <v>50</v>
      </c>
      <c r="E3" s="23" t="s">
        <v>51</v>
      </c>
      <c r="F3" s="23">
        <v>262650</v>
      </c>
      <c r="G3" s="23" t="s">
        <v>52</v>
      </c>
      <c r="H3" s="4"/>
      <c r="I3" s="4"/>
      <c r="J3" s="35"/>
      <c r="K3" s="35"/>
    </row>
    <row r="4" s="31" customFormat="1" ht="46" customHeight="1" spans="1:12">
      <c r="A4" s="2">
        <v>2</v>
      </c>
      <c r="B4" s="2" t="s">
        <v>53</v>
      </c>
      <c r="C4" s="2" t="s">
        <v>54</v>
      </c>
      <c r="D4" s="2" t="s">
        <v>55</v>
      </c>
      <c r="E4" s="36" t="s">
        <v>56</v>
      </c>
      <c r="F4" s="2">
        <v>31518</v>
      </c>
      <c r="G4" s="37" t="s">
        <v>57</v>
      </c>
      <c r="H4" s="4"/>
      <c r="I4" s="4"/>
      <c r="J4" s="35"/>
      <c r="K4" s="35"/>
    </row>
    <row r="5" s="31" customFormat="1" ht="23" customHeight="1" spans="1:12">
      <c r="A5" s="2">
        <v>3</v>
      </c>
      <c r="B5" s="2" t="s">
        <v>58</v>
      </c>
      <c r="C5" s="2" t="s">
        <v>59</v>
      </c>
      <c r="D5" s="2" t="s">
        <v>60</v>
      </c>
      <c r="E5" s="2" t="s">
        <v>61</v>
      </c>
      <c r="F5" s="2">
        <v>5397.59</v>
      </c>
      <c r="G5" s="2" t="s">
        <v>62</v>
      </c>
      <c r="H5" s="4"/>
      <c r="I5" s="4"/>
      <c r="J5" s="35"/>
      <c r="K5" s="35"/>
    </row>
    <row r="6" ht="23" customHeight="1" spans="1:12">
      <c r="A6" s="4">
        <v>4</v>
      </c>
      <c r="B6" s="4" t="s">
        <v>63</v>
      </c>
      <c r="C6" s="4"/>
      <c r="D6" s="4" t="s">
        <v>51</v>
      </c>
      <c r="E6" s="4" t="s">
        <v>64</v>
      </c>
      <c r="F6" s="4">
        <v>8000</v>
      </c>
      <c r="G6" s="4"/>
      <c r="H6" s="38">
        <v>0.01</v>
      </c>
      <c r="I6" s="39" t="s">
        <v>65</v>
      </c>
      <c r="J6" s="34">
        <v>0</v>
      </c>
      <c r="K6" s="40">
        <f t="shared" ref="K6:K12" si="0">F6-J6</f>
        <v>8000</v>
      </c>
    </row>
    <row r="7" ht="23" customHeight="1" spans="1:12">
      <c r="A7" s="4">
        <v>5</v>
      </c>
      <c r="B7" s="4" t="s">
        <v>66</v>
      </c>
      <c r="C7" s="4"/>
      <c r="D7" s="4" t="s">
        <v>51</v>
      </c>
      <c r="E7" s="4" t="s">
        <v>67</v>
      </c>
      <c r="F7" s="4">
        <v>24597.5</v>
      </c>
      <c r="G7" s="4"/>
      <c r="H7" s="38">
        <v>0.01</v>
      </c>
      <c r="I7" s="39" t="s">
        <v>65</v>
      </c>
      <c r="J7" s="34">
        <v>0</v>
      </c>
      <c r="K7" s="40">
        <f t="shared" si="0"/>
        <v>24597.5</v>
      </c>
    </row>
    <row r="8" ht="23" customHeight="1" spans="1:12">
      <c r="A8" s="4">
        <v>6</v>
      </c>
      <c r="B8" s="4" t="s">
        <v>68</v>
      </c>
      <c r="C8" s="4"/>
      <c r="D8" s="4" t="s">
        <v>51</v>
      </c>
      <c r="E8" s="4" t="s">
        <v>69</v>
      </c>
      <c r="F8" s="4">
        <v>56700</v>
      </c>
      <c r="G8" s="41">
        <f>成本清单!D3+成本清单!D4</f>
        <v>64670.2</v>
      </c>
      <c r="H8" s="4" t="s">
        <v>70</v>
      </c>
      <c r="I8" s="39" t="s">
        <v>71</v>
      </c>
      <c r="J8" s="34">
        <v>0</v>
      </c>
      <c r="K8" s="34">
        <f t="shared" si="0"/>
        <v>56700</v>
      </c>
    </row>
    <row r="9" ht="23" customHeight="1" spans="1:12">
      <c r="A9" s="4">
        <v>7</v>
      </c>
      <c r="B9" s="4" t="s">
        <v>72</v>
      </c>
      <c r="C9" s="4"/>
      <c r="D9" s="4" t="s">
        <v>51</v>
      </c>
      <c r="E9" s="4" t="s">
        <v>73</v>
      </c>
      <c r="F9" s="4">
        <v>50400</v>
      </c>
      <c r="G9" s="42"/>
      <c r="H9" s="4" t="s">
        <v>70</v>
      </c>
      <c r="I9" s="39" t="s">
        <v>71</v>
      </c>
      <c r="J9" s="34">
        <v>0</v>
      </c>
      <c r="K9" s="34">
        <f t="shared" si="0"/>
        <v>50400</v>
      </c>
    </row>
    <row r="10" s="32" customFormat="1" ht="23" customHeight="1" spans="1:12">
      <c r="A10" s="4">
        <v>8</v>
      </c>
      <c r="B10" s="4" t="s">
        <v>74</v>
      </c>
      <c r="C10" s="4"/>
      <c r="D10" s="4" t="s">
        <v>51</v>
      </c>
      <c r="E10" s="4" t="s">
        <v>75</v>
      </c>
      <c r="F10" s="4">
        <v>47740</v>
      </c>
      <c r="G10" s="43"/>
      <c r="H10" s="44" t="s">
        <v>70</v>
      </c>
      <c r="I10" s="45" t="s">
        <v>71</v>
      </c>
      <c r="J10" s="34">
        <v>0</v>
      </c>
      <c r="K10" s="34">
        <f t="shared" si="0"/>
        <v>47740</v>
      </c>
      <c r="L10"/>
    </row>
    <row r="11" ht="24" customHeight="1" spans="1:12">
      <c r="A11" s="4">
        <v>9</v>
      </c>
      <c r="B11" s="4" t="s">
        <v>76</v>
      </c>
      <c r="C11" s="4"/>
      <c r="D11" s="4" t="s">
        <v>51</v>
      </c>
      <c r="E11" s="4" t="s">
        <v>77</v>
      </c>
      <c r="F11" s="4">
        <v>23475</v>
      </c>
      <c r="G11" s="46">
        <f>F11-5000</f>
        <v>18475</v>
      </c>
      <c r="H11" s="38">
        <v>0.01</v>
      </c>
      <c r="I11" s="39" t="s">
        <v>78</v>
      </c>
      <c r="J11" s="34">
        <f>F11/1.01*0.01</f>
        <v>232.425742574257</v>
      </c>
      <c r="K11" s="34">
        <f t="shared" si="0"/>
        <v>23242.5742574257</v>
      </c>
      <c r="L11" s="47" t="s">
        <v>79</v>
      </c>
    </row>
    <row r="12" ht="23" customHeight="1" spans="1:12">
      <c r="A12" s="4">
        <v>10</v>
      </c>
      <c r="B12" s="4" t="s">
        <v>63</v>
      </c>
      <c r="C12" s="4"/>
      <c r="D12" s="4" t="s">
        <v>51</v>
      </c>
      <c r="E12" s="4" t="s">
        <v>80</v>
      </c>
      <c r="F12" s="4">
        <v>69000</v>
      </c>
      <c r="G12" s="4"/>
      <c r="H12" s="48">
        <v>0.09</v>
      </c>
      <c r="I12" s="49" t="s">
        <v>81</v>
      </c>
      <c r="J12" s="34">
        <f>F12/1.09*0.09</f>
        <v>5697.24770642202</v>
      </c>
      <c r="K12" s="34">
        <f t="shared" si="0"/>
        <v>63302.752293578</v>
      </c>
    </row>
    <row r="13" ht="45" customHeight="1" spans="1:12">
      <c r="A13" s="2">
        <v>11</v>
      </c>
      <c r="B13" s="2" t="s">
        <v>82</v>
      </c>
      <c r="C13" s="2"/>
      <c r="D13" s="2" t="s">
        <v>83</v>
      </c>
      <c r="E13" s="37" t="s">
        <v>56</v>
      </c>
      <c r="F13" s="2">
        <v>107</v>
      </c>
      <c r="G13" s="2" t="s">
        <v>82</v>
      </c>
      <c r="H13" s="4"/>
      <c r="I13" s="39">
        <f>G8-成本清单!D3-成本清单!D4</f>
        <v>0</v>
      </c>
    </row>
    <row r="14" ht="46" customHeight="1" spans="1:12">
      <c r="A14" s="2">
        <v>12</v>
      </c>
      <c r="B14" s="2" t="s">
        <v>58</v>
      </c>
      <c r="C14" s="2"/>
      <c r="D14" s="2" t="s">
        <v>55</v>
      </c>
      <c r="E14" s="24" t="s">
        <v>84</v>
      </c>
      <c r="F14" s="2">
        <v>837.92</v>
      </c>
      <c r="G14" s="2" t="s">
        <v>62</v>
      </c>
      <c r="H14" s="4"/>
      <c r="I14" s="39"/>
    </row>
    <row r="15" ht="25" customHeight="1" spans="1:12">
      <c r="A15" s="23">
        <v>13</v>
      </c>
      <c r="B15" s="23" t="s">
        <v>48</v>
      </c>
      <c r="C15" s="23"/>
      <c r="D15" s="23" t="s">
        <v>50</v>
      </c>
      <c r="E15" s="23" t="s">
        <v>51</v>
      </c>
      <c r="F15" s="23">
        <v>42679.14</v>
      </c>
      <c r="G15" s="23" t="s">
        <v>85</v>
      </c>
      <c r="H15" s="4"/>
      <c r="I15" s="39"/>
    </row>
    <row r="16" ht="34" customHeight="1" spans="1:12">
      <c r="A16" s="4">
        <v>14</v>
      </c>
      <c r="B16" s="4" t="s">
        <v>86</v>
      </c>
      <c r="C16" s="4"/>
      <c r="D16" s="4" t="s">
        <v>51</v>
      </c>
      <c r="E16" s="4" t="s">
        <v>87</v>
      </c>
      <c r="F16" s="4">
        <v>6920</v>
      </c>
      <c r="G16" s="4"/>
      <c r="H16" s="29"/>
      <c r="I16" s="29"/>
      <c r="J16" s="34" t="s">
        <v>88</v>
      </c>
      <c r="K16" s="34">
        <f>SUM(K6:K12)</f>
        <v>273982.826551004</v>
      </c>
    </row>
    <row r="17" s="33" customFormat="1" spans="1:9">
      <c r="A17" s="12">
        <v>15</v>
      </c>
      <c r="B17" s="12" t="s">
        <v>89</v>
      </c>
      <c r="C17" s="12"/>
      <c r="D17" s="12" t="s">
        <v>51</v>
      </c>
      <c r="E17" s="12" t="s">
        <v>55</v>
      </c>
      <c r="F17" s="12">
        <v>19935.9</v>
      </c>
      <c r="G17" s="12"/>
      <c r="H17" s="50"/>
    </row>
    <row r="18" spans="1:9">
      <c r="I18">
        <f>F4+F5+F13+F14</f>
        <v>37860.51</v>
      </c>
    </row>
  </sheetData>
  <mergeCells count="2">
    <mergeCell ref="A1:I1"/>
    <mergeCell ref="G8:G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B35" sqref="B35"/>
    </sheetView>
  </sheetViews>
  <sheetFormatPr defaultColWidth="8.88888888888889" defaultRowHeight="14.4" outlineLevelCol="6"/>
  <cols>
    <col min="2" max="2" width="22.25" customWidth="1"/>
    <col min="3" max="3" width="29.4444444444444" customWidth="1"/>
    <col min="4" max="4" width="14.7777777777778" style="16" customWidth="1"/>
    <col min="5" max="5" width="44.7777777777778" customWidth="1"/>
    <col min="6" max="6" width="26.7777777777778" customWidth="1"/>
    <col min="7" max="7" width="38.3333333333333" customWidth="1"/>
  </cols>
  <sheetData>
    <row r="1" ht="17.4" spans="1:7">
      <c r="A1" s="17" t="s">
        <v>90</v>
      </c>
      <c r="B1" s="17"/>
      <c r="C1" s="17"/>
      <c r="D1" s="18"/>
      <c r="E1" s="17"/>
      <c r="F1" s="17"/>
      <c r="G1" s="17"/>
    </row>
    <row r="2" spans="1:7">
      <c r="A2" s="19" t="s">
        <v>1</v>
      </c>
      <c r="B2" s="19" t="s">
        <v>39</v>
      </c>
      <c r="C2" s="19" t="s">
        <v>91</v>
      </c>
      <c r="D2" s="20" t="s">
        <v>92</v>
      </c>
      <c r="E2" s="19" t="s">
        <v>43</v>
      </c>
      <c r="F2" s="19" t="s">
        <v>93</v>
      </c>
      <c r="G2" s="2"/>
    </row>
    <row r="3" spans="1:7">
      <c r="A3" s="19">
        <v>1</v>
      </c>
      <c r="B3" s="19" t="s">
        <v>68</v>
      </c>
      <c r="C3" s="19" t="s">
        <v>69</v>
      </c>
      <c r="D3" s="21">
        <v>17500</v>
      </c>
      <c r="E3" s="19" t="s">
        <v>94</v>
      </c>
      <c r="F3" s="19">
        <v>39200</v>
      </c>
      <c r="G3" s="2" t="s">
        <v>95</v>
      </c>
    </row>
    <row r="4" spans="1:7">
      <c r="A4" s="19">
        <v>2</v>
      </c>
      <c r="B4" s="19" t="s">
        <v>72</v>
      </c>
      <c r="C4" s="19" t="s">
        <v>96</v>
      </c>
      <c r="D4" s="21">
        <v>47170.2</v>
      </c>
      <c r="E4" s="19" t="s">
        <v>97</v>
      </c>
      <c r="F4" s="19">
        <v>50969.8</v>
      </c>
      <c r="G4" s="2" t="s">
        <v>95</v>
      </c>
    </row>
    <row r="5" spans="1:7">
      <c r="A5" s="19">
        <v>3</v>
      </c>
      <c r="B5" s="19" t="s">
        <v>63</v>
      </c>
      <c r="C5" s="19" t="s">
        <v>64</v>
      </c>
      <c r="D5" s="20">
        <v>8000</v>
      </c>
      <c r="E5" s="19"/>
      <c r="F5" s="19"/>
      <c r="G5" s="19" t="s">
        <v>98</v>
      </c>
    </row>
    <row r="6" spans="1:7">
      <c r="A6" s="19">
        <v>4</v>
      </c>
      <c r="B6" s="19" t="s">
        <v>99</v>
      </c>
      <c r="C6" s="19" t="s">
        <v>67</v>
      </c>
      <c r="D6" s="20">
        <v>24597.5</v>
      </c>
      <c r="E6" s="19"/>
      <c r="F6" s="19"/>
      <c r="G6" s="19" t="s">
        <v>98</v>
      </c>
    </row>
    <row r="7" ht="36" customHeight="1" spans="1:7">
      <c r="A7" s="19">
        <v>5</v>
      </c>
      <c r="B7" s="19" t="s">
        <v>100</v>
      </c>
      <c r="C7" s="19" t="s">
        <v>77</v>
      </c>
      <c r="D7" s="22">
        <f>23475-5000</f>
        <v>18475</v>
      </c>
      <c r="E7" s="19"/>
      <c r="F7" s="23">
        <v>5000</v>
      </c>
      <c r="G7" s="24" t="s">
        <v>101</v>
      </c>
    </row>
    <row r="8" spans="1:7">
      <c r="A8" s="19">
        <v>6</v>
      </c>
      <c r="B8" s="19" t="s">
        <v>74</v>
      </c>
      <c r="C8" s="19" t="s">
        <v>102</v>
      </c>
      <c r="D8" s="25">
        <v>5840</v>
      </c>
      <c r="E8" s="19"/>
      <c r="F8" s="19"/>
      <c r="G8" s="19" t="s">
        <v>103</v>
      </c>
    </row>
    <row r="9" spans="1:7">
      <c r="A9" s="19">
        <v>7</v>
      </c>
      <c r="B9" s="19" t="s">
        <v>104</v>
      </c>
      <c r="C9" s="19"/>
      <c r="D9" s="25">
        <v>2600</v>
      </c>
      <c r="E9" s="19" t="s">
        <v>105</v>
      </c>
      <c r="F9" s="19"/>
      <c r="G9" s="19" t="s">
        <v>106</v>
      </c>
    </row>
    <row r="10" ht="28.8" spans="1:7">
      <c r="A10" s="19">
        <v>8</v>
      </c>
      <c r="B10" s="26" t="s">
        <v>107</v>
      </c>
      <c r="C10" s="19"/>
      <c r="D10" s="25">
        <v>6708.79</v>
      </c>
      <c r="E10" s="19" t="s">
        <v>105</v>
      </c>
      <c r="F10" s="19"/>
      <c r="G10" s="19" t="s">
        <v>108</v>
      </c>
    </row>
    <row r="11" spans="1:7">
      <c r="A11" s="19">
        <v>9</v>
      </c>
      <c r="B11" s="26" t="s">
        <v>109</v>
      </c>
      <c r="C11" s="19"/>
      <c r="D11" s="25">
        <v>15286.8</v>
      </c>
      <c r="E11" s="19" t="s">
        <v>110</v>
      </c>
      <c r="F11" s="19"/>
      <c r="G11" s="19" t="s">
        <v>108</v>
      </c>
    </row>
    <row r="12" spans="1:7">
      <c r="A12" s="19">
        <v>10</v>
      </c>
      <c r="B12" s="26" t="s">
        <v>111</v>
      </c>
      <c r="C12" s="19"/>
      <c r="D12" s="25">
        <v>2584</v>
      </c>
      <c r="E12" s="19" t="s">
        <v>112</v>
      </c>
      <c r="F12" s="19"/>
      <c r="G12" s="19" t="s">
        <v>113</v>
      </c>
    </row>
    <row r="13" spans="1:7">
      <c r="A13" s="19"/>
      <c r="B13" s="26" t="s">
        <v>114</v>
      </c>
      <c r="C13" s="19" t="s">
        <v>115</v>
      </c>
      <c r="D13" s="20">
        <v>5697.24770642202</v>
      </c>
      <c r="E13" s="19"/>
      <c r="F13" s="19"/>
      <c r="G13" s="19"/>
    </row>
    <row r="14" spans="1:7">
      <c r="A14" s="19">
        <v>11</v>
      </c>
      <c r="B14" s="26" t="s">
        <v>82</v>
      </c>
      <c r="C14" s="19"/>
      <c r="D14" s="27">
        <v>107</v>
      </c>
      <c r="E14" s="19" t="s">
        <v>105</v>
      </c>
      <c r="F14" s="19"/>
      <c r="G14" s="19"/>
    </row>
    <row r="15" ht="28.8" spans="1:7">
      <c r="A15" s="19">
        <v>12</v>
      </c>
      <c r="B15" s="26" t="s">
        <v>114</v>
      </c>
      <c r="C15" s="19"/>
      <c r="D15" s="27">
        <v>37753.51</v>
      </c>
      <c r="E15" s="28" t="s">
        <v>116</v>
      </c>
      <c r="F15" s="19"/>
      <c r="G15" s="19"/>
    </row>
    <row r="16" spans="1:7">
      <c r="A16" s="19">
        <v>13</v>
      </c>
      <c r="B16" s="26" t="s">
        <v>27</v>
      </c>
      <c r="C16" s="19"/>
      <c r="D16" s="20">
        <v>6180</v>
      </c>
      <c r="E16" s="28"/>
      <c r="F16" s="19"/>
      <c r="G16" s="19"/>
    </row>
    <row r="17" spans="1:7">
      <c r="A17" s="19">
        <v>14</v>
      </c>
      <c r="B17" s="26" t="s">
        <v>26</v>
      </c>
      <c r="C17" s="19" t="s">
        <v>117</v>
      </c>
      <c r="D17" s="20">
        <f>协鹏款项汇总表!C5-协鹏款项汇总表!C4-协鹏款项汇总表!C8</f>
        <v>-7618.86344899627</v>
      </c>
      <c r="E17" s="28"/>
      <c r="F17" s="19"/>
      <c r="G17" s="19"/>
    </row>
    <row r="18" spans="1:7">
      <c r="A18" s="29">
        <v>14</v>
      </c>
      <c r="B18" s="29" t="s">
        <v>118</v>
      </c>
      <c r="C18" s="29" t="s">
        <v>119</v>
      </c>
      <c r="D18" s="30">
        <f>SUM(D3:D17)</f>
        <v>190881.184257426</v>
      </c>
      <c r="E18" s="29"/>
      <c r="F18" s="29"/>
      <c r="G18" s="29"/>
    </row>
    <row r="20" spans="1:7">
      <c r="D20" s="16">
        <f>D18-SUM('中高-竣工决算表'!C4:C7)</f>
        <v>0</v>
      </c>
    </row>
  </sheetData>
  <mergeCells count="1">
    <mergeCell ref="A1:G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C27" sqref="C27"/>
    </sheetView>
  </sheetViews>
  <sheetFormatPr defaultColWidth="8.88888888888889" defaultRowHeight="14.4" outlineLevelCol="5"/>
  <cols>
    <col min="2" max="2" width="32.5555555555556" customWidth="1"/>
    <col min="3" max="3" width="45.3333333333333" customWidth="1"/>
    <col min="4" max="4" width="34.2222222222222" customWidth="1"/>
    <col min="5" max="5" width="12.6296296296296"/>
  </cols>
  <sheetData>
    <row r="1" ht="22.2" spans="1:6">
      <c r="A1" s="1" t="s">
        <v>120</v>
      </c>
      <c r="B1" s="1"/>
      <c r="C1" s="1"/>
      <c r="D1" s="1"/>
    </row>
    <row r="2" spans="1:6">
      <c r="A2" s="2" t="s">
        <v>1</v>
      </c>
      <c r="B2" s="2" t="s">
        <v>2</v>
      </c>
      <c r="C2" s="3" t="s">
        <v>3</v>
      </c>
      <c r="D2" s="3"/>
    </row>
    <row r="3" spans="1:6">
      <c r="A3" s="4">
        <v>1</v>
      </c>
      <c r="B3" s="4" t="s">
        <v>121</v>
      </c>
      <c r="C3" s="5">
        <v>305329.14</v>
      </c>
      <c r="D3" s="4"/>
    </row>
    <row r="4" spans="1:6">
      <c r="A4" s="4">
        <v>2</v>
      </c>
      <c r="B4" s="4" t="s">
        <v>122</v>
      </c>
      <c r="C4" s="6">
        <f>5929.67</f>
        <v>5929.67</v>
      </c>
      <c r="D4" s="4"/>
    </row>
    <row r="5" spans="1:6">
      <c r="A5" s="4">
        <v>3</v>
      </c>
      <c r="B5" s="7" t="s">
        <v>123</v>
      </c>
      <c r="C5" s="8">
        <f>SUM(C3:C4)</f>
        <v>311258.81</v>
      </c>
      <c r="D5" s="7"/>
    </row>
    <row r="6" spans="1:6">
      <c r="A6" s="4">
        <v>4</v>
      </c>
      <c r="B6" s="4" t="s">
        <v>124</v>
      </c>
      <c r="C6" s="6">
        <f>[1]实际成本!D3+[1]实际成本!D4+[1]实际成本!D8</f>
        <v>70510.2</v>
      </c>
      <c r="D6" s="4"/>
    </row>
    <row r="7" spans="1:6">
      <c r="A7" s="4">
        <v>5</v>
      </c>
      <c r="B7" s="4" t="s">
        <v>125</v>
      </c>
      <c r="C7" s="6">
        <v>8000</v>
      </c>
      <c r="D7" s="4"/>
    </row>
    <row r="8" spans="1:6">
      <c r="A8" s="4">
        <v>6</v>
      </c>
      <c r="B8" s="4" t="s">
        <v>126</v>
      </c>
      <c r="C8" s="6">
        <v>23242.5742574257</v>
      </c>
      <c r="D8" s="4" t="s">
        <v>127</v>
      </c>
    </row>
    <row r="9" spans="1:6">
      <c r="A9" s="4">
        <v>7</v>
      </c>
      <c r="B9" s="4" t="s">
        <v>128</v>
      </c>
      <c r="C9" s="6">
        <f>[1]实际成本!D6</f>
        <v>24597.5</v>
      </c>
      <c r="D9" s="4"/>
    </row>
    <row r="10" ht="28" customHeight="1" spans="1:6">
      <c r="A10" s="4">
        <v>8</v>
      </c>
      <c r="B10" s="9" t="s">
        <v>129</v>
      </c>
      <c r="C10" s="6">
        <f>'附件资料2-成本'!C1</f>
        <v>33019.59</v>
      </c>
      <c r="D10" s="4" t="s">
        <v>130</v>
      </c>
    </row>
    <row r="11" spans="1:6">
      <c r="A11" s="10">
        <v>9</v>
      </c>
      <c r="B11" s="10" t="s">
        <v>131</v>
      </c>
      <c r="C11" s="11">
        <v>6180</v>
      </c>
      <c r="D11" s="10"/>
    </row>
    <row r="12" spans="1:6">
      <c r="A12" s="10">
        <v>10</v>
      </c>
      <c r="B12" s="10" t="s">
        <v>132</v>
      </c>
      <c r="C12" s="11">
        <f>协鹏款项汇总表!C5</f>
        <v>29828.81</v>
      </c>
      <c r="D12" s="10"/>
    </row>
    <row r="13" spans="1:6">
      <c r="A13" s="10">
        <v>11</v>
      </c>
      <c r="B13" s="10" t="s">
        <v>133</v>
      </c>
      <c r="C13" s="11">
        <f>[1]实际成本!D15+[1]实际成本!D14</f>
        <v>37860.51</v>
      </c>
      <c r="D13" s="11" t="s">
        <v>134</v>
      </c>
      <c r="E13">
        <v>31518</v>
      </c>
      <c r="F13">
        <f>C13-E13</f>
        <v>6342.51</v>
      </c>
    </row>
    <row r="14" spans="1:6">
      <c r="A14" s="4">
        <v>12</v>
      </c>
      <c r="B14" s="7" t="s">
        <v>123</v>
      </c>
      <c r="C14" s="8">
        <f>SUM(C6:C13)</f>
        <v>233239.184257426</v>
      </c>
      <c r="D14" s="7"/>
    </row>
    <row r="15" spans="1:6">
      <c r="A15" s="12">
        <v>13</v>
      </c>
      <c r="B15" s="12" t="s">
        <v>135</v>
      </c>
      <c r="C15" s="13">
        <f>协鹏款项汇总表!C11</f>
        <v>69000</v>
      </c>
      <c r="D15" s="12" t="s">
        <v>136</v>
      </c>
    </row>
    <row r="16" spans="1:6">
      <c r="A16" s="12">
        <v>14</v>
      </c>
      <c r="B16" s="12" t="s">
        <v>137</v>
      </c>
      <c r="C16" s="13">
        <f>[1]实际成本!F3+[1]实际成本!F4</f>
        <v>90169.8</v>
      </c>
      <c r="D16" s="12" t="s">
        <v>138</v>
      </c>
    </row>
    <row r="17" spans="1:4">
      <c r="A17" s="12">
        <v>15</v>
      </c>
      <c r="B17" s="12" t="s">
        <v>139</v>
      </c>
      <c r="C17" s="13">
        <v>5000</v>
      </c>
      <c r="D17" s="12" t="s">
        <v>138</v>
      </c>
    </row>
    <row r="18" spans="1:4">
      <c r="A18" s="12">
        <v>16</v>
      </c>
      <c r="B18" s="12" t="s">
        <v>140</v>
      </c>
      <c r="C18" s="13">
        <f>协鹏款项汇总表!C12</f>
        <v>6919.98224899627</v>
      </c>
      <c r="D18" s="12" t="s">
        <v>141</v>
      </c>
    </row>
    <row r="19" spans="1:4">
      <c r="A19" s="12">
        <v>17</v>
      </c>
      <c r="B19" s="12" t="s">
        <v>142</v>
      </c>
      <c r="C19" s="13">
        <f>协鹏款项汇总表!C13</f>
        <v>19935.5212</v>
      </c>
      <c r="D19" s="12" t="s">
        <v>143</v>
      </c>
    </row>
    <row r="20" ht="28" customHeight="1" spans="1:4">
      <c r="A20" s="12">
        <v>18</v>
      </c>
      <c r="B20" s="14" t="s">
        <v>144</v>
      </c>
      <c r="C20" s="15">
        <f>SUM(C15:C19)</f>
        <v>191025.303448996</v>
      </c>
      <c r="D20" s="14"/>
    </row>
    <row r="21" spans="1:4">
      <c r="A21" s="12">
        <v>19</v>
      </c>
      <c r="B21" s="12" t="s">
        <v>145</v>
      </c>
      <c r="C21" s="13">
        <v>37860.51</v>
      </c>
      <c r="D21" s="12"/>
    </row>
    <row r="22" spans="1:4">
      <c r="A22" s="12">
        <v>20</v>
      </c>
      <c r="B22" s="12" t="s">
        <v>146</v>
      </c>
      <c r="C22" s="13">
        <v>33019.59</v>
      </c>
      <c r="D22" s="12"/>
    </row>
    <row r="23" spans="1:4">
      <c r="A23" s="12">
        <v>21</v>
      </c>
      <c r="B23" s="12" t="s">
        <v>147</v>
      </c>
      <c r="C23" s="13">
        <v>5697.25</v>
      </c>
      <c r="D23" s="12"/>
    </row>
    <row r="24" spans="1:4">
      <c r="A24" s="12">
        <v>22</v>
      </c>
      <c r="B24" s="14" t="s">
        <v>148</v>
      </c>
      <c r="C24" s="15">
        <f>C20-C21-C22-C23</f>
        <v>114447.953448996</v>
      </c>
      <c r="D24" s="14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中高-竣工决算表</vt:lpstr>
      <vt:lpstr>附件资料1-收付款及税金</vt:lpstr>
      <vt:lpstr>附件资料2-成本</vt:lpstr>
      <vt:lpstr>协鹏款项汇总表</vt:lpstr>
      <vt:lpstr>协鹏对账单</vt:lpstr>
      <vt:lpstr>成本清单</vt:lpstr>
      <vt:lpstr>成本、收入利润计算表（以收款及付款计算）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张艳稳</dc:creator>
  <cp:lastModifiedBy>稳稳</cp:lastModifiedBy>
  <dcterms:created xsi:type="dcterms:W3CDTF">2023-05-12T11:15:00Z</dcterms:created>
  <dcterms:modified xsi:type="dcterms:W3CDTF">2026-01-04T02:28:14Z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C60B0944037D4F04BC559C20D322593A_13</vt:lpwstr>
  </property>
  <property fmtid="{D5CDD505-2E9C-101B-9397-08002B2CF9AE}" pid="4" name="CalculationRule">
    <vt:i4>0</vt:i4>
  </property>
</Properties>
</file>