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5"/>
  </bookViews>
  <sheets>
    <sheet name="2025.12结算" sheetId="1" r:id="rId1"/>
    <sheet name="12月回款" sheetId="20" r:id="rId2"/>
    <sheet name="12月日记账" sheetId="21" r:id="rId3"/>
    <sheet name="12月支援人员费用明细表" sheetId="22" r:id="rId4"/>
  </sheets>
  <externalReferences>
    <externalReference r:id="rId5"/>
  </externalReferences>
  <definedNames>
    <definedName name="_xlnm._FilterDatabase" localSheetId="2" hidden="1">'12月日记账'!$A$31:$F$54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11" authorId="0">
      <text>
        <r>
          <rPr>
            <b/>
            <sz val="9"/>
            <rFont val="宋体"/>
            <charset val="134"/>
          </rPr>
          <t>Administrator:</t>
        </r>
        <r>
          <rPr>
            <sz val="9"/>
            <rFont val="宋体"/>
            <charset val="134"/>
          </rPr>
          <t xml:space="preserve">
招标代理费</t>
        </r>
      </text>
    </comment>
    <comment ref="G84"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<sst xmlns="http://schemas.openxmlformats.org/spreadsheetml/2006/main" count="467" uniqueCount="189">
  <si>
    <t>新疆工程学院项目</t>
  </si>
  <si>
    <t>收款周期</t>
  </si>
  <si>
    <t>云南中高收入（开票收款）</t>
  </si>
  <si>
    <t>实际收款</t>
  </si>
  <si>
    <t>云南上海公司支出费用统计</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</si>
  <si>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</si>
  <si>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</si>
  <si>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</si>
  <si>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</si>
  <si>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</si>
  <si>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</si>
  <si>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</si>
  <si>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</si>
  <si>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</si>
  <si>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</si>
  <si>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</si>
  <si>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</si>
  <si>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2025.12月</t>
  </si>
  <si>
    <t>合计</t>
  </si>
  <si>
    <t>36中项目</t>
  </si>
  <si>
    <t>36中支付金额</t>
  </si>
  <si>
    <t>增值税</t>
  </si>
  <si>
    <t>新疆公司开具6%差额发票</t>
  </si>
  <si>
    <t>八一中学项目</t>
  </si>
  <si>
    <t>八一中学支付金额</t>
  </si>
  <si>
    <t xml:space="preserve">石河子大学项目 </t>
  </si>
  <si>
    <t>上海中高收入（开票收款）</t>
  </si>
  <si>
    <t>上海中高向新疆公司支付金额</t>
  </si>
  <si>
    <t>石河子大学支付金额（以实际结算为准）</t>
  </si>
  <si>
    <t>云南新疆公司（招行）</t>
  </si>
  <si>
    <t>新疆师专 -安保项目</t>
  </si>
  <si>
    <t>新疆师专支付金额</t>
  </si>
  <si>
    <t>不征税差额</t>
  </si>
  <si>
    <t>新疆救助站项目</t>
  </si>
  <si>
    <t>救助站支付金额</t>
  </si>
  <si>
    <t>新疆图书馆项目</t>
  </si>
  <si>
    <t>图书馆支付金额</t>
  </si>
  <si>
    <t>昌吉学院项目</t>
  </si>
  <si>
    <t>昌吉学院支付金额</t>
  </si>
  <si>
    <t>非遗文化馆项目</t>
  </si>
  <si>
    <t>非遗文化馆支付金额</t>
  </si>
  <si>
    <t>新大绿化项目</t>
  </si>
  <si>
    <t>新大绿化支付金额</t>
  </si>
  <si>
    <t>新疆总工会项目</t>
  </si>
  <si>
    <t>总工会支付金额</t>
  </si>
  <si>
    <t>12月合计</t>
  </si>
  <si>
    <t>按收入成本支出发生金额结算，2025年12月，合计收款5803459.82元，其中工程学院以服务费为收入结算，最终结算的收入为4816067.85元。云南上海公司扣除成本合计688047.06元，12月需向新疆公司结算金额为4128020.79元。25年11月12月新疆公司已经提前开票给云南、上海公司2750000元，此次结算只需再开具1378020.79元（其中开给云南398963.79元，开给上海979057.01元）</t>
  </si>
  <si>
    <t>结算收入合计：</t>
  </si>
  <si>
    <t xml:space="preserve">特殊说明：工程学院不以实际收款为结算，按服务费为收入结算； </t>
  </si>
  <si>
    <t>支出成本合计：</t>
  </si>
  <si>
    <t>八一中学家属区物业费和停车费收到新疆个体户不需要和云南公司结算</t>
  </si>
  <si>
    <t>本次支援人员费用单独由云南开票给新疆公司结算</t>
  </si>
  <si>
    <t>结算金额：</t>
  </si>
  <si>
    <t>以下项目暂时统计，本次不结算</t>
  </si>
  <si>
    <t xml:space="preserve">八一中学 </t>
  </si>
  <si>
    <t>2025.5月</t>
  </si>
  <si>
    <t xml:space="preserve">12月应结算金额 </t>
  </si>
  <si>
    <t>11月新疆提前开票金额</t>
  </si>
  <si>
    <t>12月新疆提前开票金额</t>
  </si>
  <si>
    <t>12月结算金额新疆公司只需开票</t>
  </si>
  <si>
    <t>其中开给云南公司</t>
  </si>
  <si>
    <t>其中开给上海公司</t>
  </si>
  <si>
    <t>收费台账（2025.12）</t>
  </si>
  <si>
    <t>序号</t>
  </si>
  <si>
    <t>收费项目</t>
  </si>
  <si>
    <t>实际回款情况</t>
  </si>
  <si>
    <t>备注</t>
  </si>
  <si>
    <t>主体公司</t>
  </si>
  <si>
    <t>收入金额</t>
  </si>
  <si>
    <t>实收金额</t>
  </si>
  <si>
    <t>实收日期</t>
  </si>
  <si>
    <t>新疆工程学院</t>
  </si>
  <si>
    <t>中高后勤服务（云南）有限公司</t>
  </si>
  <si>
    <t>36中资产移交</t>
  </si>
  <si>
    <t>八一中学（含幼儿园）</t>
  </si>
  <si>
    <t>石河子大学</t>
  </si>
  <si>
    <t>上海中高后勤服务（集团）有限公司</t>
  </si>
  <si>
    <t>新疆图书馆</t>
  </si>
  <si>
    <t>昌吉学院</t>
  </si>
  <si>
    <t>非物质文化遗产馆</t>
  </si>
  <si>
    <t>新大绿化</t>
  </si>
  <si>
    <t>新疆救助站</t>
  </si>
  <si>
    <t>新疆师专安保</t>
  </si>
  <si>
    <t>总工会</t>
  </si>
  <si>
    <t>业务日期</t>
  </si>
  <si>
    <t>摘要</t>
  </si>
  <si>
    <t>银行名称</t>
  </si>
  <si>
    <t>对方科目</t>
  </si>
  <si>
    <t>借方金额</t>
  </si>
  <si>
    <t>贷方金额</t>
  </si>
  <si>
    <t>2025-12-04</t>
  </si>
  <si>
    <t>新疆工程学院张磊报劳务派遣费</t>
  </si>
  <si>
    <t>1002.01.01 物业交行世纪城支行（8810）</t>
  </si>
  <si>
    <t>6001.12 主营业务收入 - 劳务派遣服务费收入/075 - 新疆工程学院</t>
  </si>
  <si>
    <t>2025-12-12</t>
  </si>
  <si>
    <t>新疆工程学院孙良戈劳务派遣费</t>
  </si>
  <si>
    <t>乌鲁木齐八一中学物业费</t>
  </si>
  <si>
    <t>6001.03.01 主营业务收入 - 服务费收入 - 物业服务费收入/095 - 八一中学</t>
  </si>
  <si>
    <t>2025-12-15</t>
  </si>
  <si>
    <t>新疆工程学院李依凡劳务派遣费</t>
  </si>
  <si>
    <t>2025-12-16</t>
  </si>
  <si>
    <t>新疆工程学院侯德华劳务派遣费</t>
  </si>
  <si>
    <t>2025-12-17</t>
  </si>
  <si>
    <t>乌鲁木齐市第三十六中学支付移交评估食堂资产</t>
  </si>
  <si>
    <t>6001.10 主营业务收入 - 其他收入/071 - 新疆36中</t>
  </si>
  <si>
    <t>2025-12-24</t>
  </si>
  <si>
    <t>新疆工程学院劳务派遣费</t>
  </si>
  <si>
    <t>2025-12-25</t>
  </si>
  <si>
    <t>支付乌鲁木齐市傲立电梯有限公司2025.10.25-2025.11.30电梯维保费</t>
  </si>
  <si>
    <t>6401.05.02 主营业务成本 - 维修成本 - 维修保养费/095 - 八一中学</t>
  </si>
  <si>
    <t>2025-12-01</t>
  </si>
  <si>
    <t>新疆大学物业管理费</t>
  </si>
  <si>
    <t>1002.01.05 上海中高建行上海临平路支行（2260）</t>
  </si>
  <si>
    <t>6001.03.01 主营业务收入 - 服务费收入 - 物业服务费收入/076 - 新疆大学</t>
  </si>
  <si>
    <t>2025-12-03</t>
  </si>
  <si>
    <t>新疆维吾尔自治区图书馆物业管理费</t>
  </si>
  <si>
    <t>6001.03.01 主营业务收入 - 服务费收入 - 物业服务费收入/097 - 新疆维吾尔自治区图书馆</t>
  </si>
  <si>
    <t>昌吉学院绿化费</t>
  </si>
  <si>
    <t>6001.10 主营业务收入 - 其他收入/066 - 昌吉学院</t>
  </si>
  <si>
    <t>石河子大学物业费</t>
  </si>
  <si>
    <t>6001.03.01 主营业务收入 - 服务费收入 - 物业服务费收入/077 - 石河子大学</t>
  </si>
  <si>
    <t>新疆教育学院劳动服务公司安保费</t>
  </si>
  <si>
    <t>6001.10 主营业务收入 - 其他收入/093 - 新疆师范专科高等学院</t>
  </si>
  <si>
    <t>新疆维吾尔自治区非物质文化遗产馆（新疆维吾尔自治区非物质文化遗产保护中心）物业费</t>
  </si>
  <si>
    <t>6001.03.01 主营业务收入 - 服务费收入 - 物业服务费收入/116 - 新疆维吾尔自治区非物质文化遗产馆</t>
  </si>
  <si>
    <t>2025-12-08</t>
  </si>
  <si>
    <t>石河子大学物业费收入</t>
  </si>
  <si>
    <t>新疆教育学院劳动服务公司收入</t>
  </si>
  <si>
    <t>2025-12-09</t>
  </si>
  <si>
    <t>新疆维吾尔自治区总工会办公室收入</t>
  </si>
  <si>
    <t>6001.03.01 主营业务收入 - 服务费收入 - 物业服务费收入/102 - 新疆维吾尔自治区总工会办公室</t>
  </si>
  <si>
    <t>新疆维吾尔自治区图书馆物业费</t>
  </si>
  <si>
    <t>新疆维吾尔自治区总工会机关服务中心付中高公司2025年11月份驾驶员工资及社保款</t>
  </si>
  <si>
    <t>6001.12 主营业务收入 - 劳务派遣服务费收入/102 - 新疆维吾尔自治区总工会办公室</t>
  </si>
  <si>
    <t>新疆教育学院劳动服务公司培训招待所安保费</t>
  </si>
  <si>
    <t>新疆师范高等专科学校安保费</t>
  </si>
  <si>
    <t>2025-12-22</t>
  </si>
  <si>
    <t>新疆维吾尔自治区救助管理站（新疆维吾尔自治区未成年人救助保护中心）救济费</t>
  </si>
  <si>
    <t>6001.10 主营业务收入 - 其他收入/096 - 新疆维吾尔自治区救助管理站</t>
  </si>
  <si>
    <t>新疆维吾尔自治区救助管理站（新疆维吾尔自治区未成年人救助保护中心）其他商品和服务支出</t>
  </si>
  <si>
    <t>2025.12.15石河子大学项目;发放11月工资</t>
  </si>
  <si>
    <t>上海石河子分公司招行993900603210001</t>
  </si>
  <si>
    <t>6401.03.01 主营业务成本 - 人工成本 - 人员工资/005 - 石河子大学</t>
  </si>
  <si>
    <t>2025.12.15师专安保项目;发放11月工资</t>
  </si>
  <si>
    <t>6401.03.01 主营业务成本 - 人工成本 - 人员工资/007 - 新疆师范专科-安保</t>
  </si>
  <si>
    <t>2025.12.15缴纳社保</t>
  </si>
  <si>
    <t>6401.03.07 主营业务成本 - 人工成本 - 社会保险/005 - 石河子大学</t>
  </si>
  <si>
    <t>2025.11.24石河子大学项目;发放非全日制2025.11.16-2025.11.30工资</t>
  </si>
  <si>
    <t>2025.12.16缴纳公积金</t>
  </si>
  <si>
    <t>6401.03.11 主营业务成本 - 人工成本 - 住房公积金/005 - 石河子大学</t>
  </si>
  <si>
    <t>2025.12.22石河子大学项目;发放非全日制2025.12.1-2025.12.15工资</t>
  </si>
  <si>
    <t>收款合计</t>
  </si>
  <si>
    <t>金额</t>
  </si>
  <si>
    <t>垫付合计</t>
  </si>
  <si>
    <t>工程学院</t>
  </si>
  <si>
    <t>八一中学</t>
  </si>
  <si>
    <t>八一中学结算</t>
  </si>
  <si>
    <t>师专安保（石河子分公司）</t>
  </si>
  <si>
    <t>师专安保结算</t>
  </si>
  <si>
    <t>工程学院结算</t>
  </si>
  <si>
    <t>师专安保</t>
  </si>
  <si>
    <t>救助站</t>
  </si>
  <si>
    <t>36中</t>
  </si>
  <si>
    <t>图书馆</t>
  </si>
  <si>
    <t>项目名称</t>
  </si>
  <si>
    <t>支援人员</t>
  </si>
  <si>
    <t>社保公积金</t>
  </si>
  <si>
    <t>实发工资</t>
  </si>
  <si>
    <t>管理费</t>
  </si>
  <si>
    <t>合计费用</t>
  </si>
  <si>
    <t>支出时间</t>
  </si>
  <si>
    <t>合计出勤天数</t>
  </si>
  <si>
    <t>支援项目</t>
  </si>
  <si>
    <t>云南总部</t>
  </si>
  <si>
    <t>牛叶丞</t>
  </si>
  <si>
    <t>疾控中心出勤30个班</t>
  </si>
  <si>
    <t>蔡云川</t>
  </si>
  <si>
    <t>石河子大学出勤30个班；</t>
  </si>
  <si>
    <t>沈国良</t>
  </si>
  <si>
    <t>新疆大学绿化标段出勤19个班，50元/天，补贴950元；</t>
  </si>
  <si>
    <t>李彪</t>
  </si>
  <si>
    <t>石河子大学出勤30个班</t>
  </si>
  <si>
    <t>刘帅</t>
  </si>
  <si>
    <t>昌吉一中出勤24个班（1-24日）；疾控中心出勤6个班（25-30日）；50元/天，补贴1500元；</t>
  </si>
  <si>
    <t>赵云利</t>
  </si>
  <si>
    <t>查丞璟</t>
  </si>
  <si>
    <t>张石平</t>
  </si>
  <si>
    <t>新疆出勤12个班（1-12日），100元/天，补贴1200元；</t>
  </si>
  <si>
    <t>注：由云南中高开劳务派遣发票给新疆公司结算，金额62792.39元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</si>
</sst>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44">
    <font>
      <sz val="11"/>
      <color theme="1"/>
      <name val="宋体"/>
      <charset val="134"/>
      <scheme val="minor"/>
    </font>
    <font>
      <sz val="10"/>
      <name val="宋体"/>
      <charset val="134"/>
      <scheme val="minor"/>
    </font>
    <font>
      <sz val="10"/>
      <color theme="1"/>
      <name val="宋体"/>
      <charset val="134"/>
      <scheme val="minor"/>
    </font>
    <font>
      <sz val="9"/>
      <color theme="1"/>
      <name val="宋体"/>
      <charset val="134"/>
      <scheme val="minor"/>
    </font>
    <font>
      <sz val="11"/>
      <name val="宋体"/>
      <charset val="134"/>
      <scheme val="minor"/>
    </font>
    <font>
      <sz val="11"/>
      <name val="微软雅黑"/>
      <charset val="134"/>
    </font>
    <font>
      <sz val="11"/>
      <name val="宋体"/>
      <charset val="134"/>
    </font>
    <font>
      <b/>
      <sz val="20"/>
      <color theme="1"/>
      <name val="宋体"/>
      <charset val="134"/>
      <scheme val="minor"/>
    </font>
    <font>
      <sz val="11"/>
      <color rgb="FFFF0000"/>
      <name val="宋体"/>
      <charset val="134"/>
      <scheme val="minor"/>
    </font>
    <font>
      <b/>
      <sz val="20"/>
      <color rgb="FFFF0000"/>
      <name val="宋体"/>
      <charset val="134"/>
      <scheme val="minor"/>
    </font>
    <font>
      <b/>
      <sz val="10"/>
      <color theme="1"/>
      <name val="宋体"/>
      <charset val="134"/>
      <scheme val="minor"/>
    </font>
    <font>
      <b/>
      <sz val="9"/>
      <name val="宋体"/>
      <charset val="134"/>
    </font>
    <font>
      <sz val="9"/>
      <name val="宋体"/>
      <charset val="134"/>
    </font>
    <font>
      <b/>
      <sz val="14"/>
      <name val="宋体"/>
      <charset val="134"/>
    </font>
    <font>
      <sz val="14"/>
      <name val="宋体"/>
      <charset val="134"/>
    </font>
    <font>
      <b/>
      <sz val="10"/>
      <name val="宋体"/>
      <charset val="134"/>
    </font>
    <font>
      <sz val="10"/>
      <name val="微软雅黑"/>
      <charset val="0"/>
    </font>
    <font>
      <sz val="10"/>
      <name val="微软雅黑"/>
      <charset val="134"/>
    </font>
    <font>
      <sz val="10"/>
      <color rgb="FF171A1D"/>
      <name val="微软雅黑"/>
      <charset val="134"/>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2">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0" tint="-0.15"/>
        <bgColor indexed="64"/>
      </patternFill>
    </fill>
    <fill>
      <patternFill patternType="solid">
        <fgColor rgb="FF92D050"/>
        <bgColor indexed="64"/>
      </patternFill>
    </fill>
    <fill>
      <patternFill patternType="solid">
        <fgColor theme="9" tint="0.599993896298105"/>
        <bgColor indexed="64"/>
      </patternFill>
    </fill>
    <fill>
      <patternFill patternType="solid">
        <fgColor theme="0"/>
        <bgColor indexed="64"/>
      </patternFill>
    </fill>
    <fill>
      <patternFill patternType="solid">
        <fgColor theme="5" tint="0.4"/>
        <bgColor indexed="64"/>
      </patternFill>
    </fill>
    <fill>
      <patternFill patternType="solid">
        <fgColor theme="9" tint="0.6"/>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13" borderId="16" applyNumberFormat="0" applyAlignment="0" applyProtection="0">
      <alignment vertical="center"/>
    </xf>
    <xf numFmtId="0" fontId="31" fillId="14" borderId="17" applyNumberFormat="0" applyAlignment="0" applyProtection="0">
      <alignment vertical="center"/>
    </xf>
    <xf numFmtId="0" fontId="32" fillId="14" borderId="16" applyNumberFormat="0" applyAlignment="0" applyProtection="0">
      <alignment vertical="center"/>
    </xf>
    <xf numFmtId="0" fontId="33" fillId="1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40" fillId="40" borderId="0" applyNumberFormat="0" applyBorder="0" applyAlignment="0" applyProtection="0">
      <alignment vertical="center"/>
    </xf>
    <xf numFmtId="0" fontId="40" fillId="7" borderId="0" applyNumberFormat="0" applyBorder="0" applyAlignment="0" applyProtection="0">
      <alignment vertical="center"/>
    </xf>
    <xf numFmtId="0" fontId="39" fillId="41" borderId="0" applyNumberFormat="0" applyBorder="0" applyAlignment="0" applyProtection="0">
      <alignment vertical="center"/>
    </xf>
    <xf numFmtId="0" fontId="41" fillId="0" borderId="0">
      <alignment vertical="center"/>
    </xf>
  </cellStyleXfs>
  <cellXfs count="150">
    <xf numFmtId="0" fontId="0" fillId="0" borderId="0" xfId="0">
      <alignment vertical="center"/>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0" borderId="0" xfId="0" applyNumberFormat="1" applyAlignment="1">
      <alignment vertical="center"/>
    </xf>
    <xf numFmtId="43" fontId="0" fillId="2" borderId="0" xfId="0" applyNumberFormat="1" applyFill="1" applyAlignment="1">
      <alignment horizontal="center" vertical="center"/>
    </xf>
    <xf numFmtId="43" fontId="1" fillId="2" borderId="0" xfId="0" applyNumberFormat="1" applyFont="1" applyFill="1" applyAlignment="1">
      <alignment horizontal="center" vertical="center"/>
    </xf>
    <xf numFmtId="43" fontId="2" fillId="2" borderId="0" xfId="0" applyNumberFormat="1" applyFont="1" applyFill="1" applyAlignment="1">
      <alignment horizontal="center" vertical="center"/>
    </xf>
    <xf numFmtId="0" fontId="3" fillId="2" borderId="0" xfId="0" applyFont="1" applyFill="1" applyBorder="1" applyAlignment="1">
      <alignment horizontal="left" vertical="center"/>
    </xf>
    <xf numFmtId="43" fontId="0" fillId="3" borderId="0" xfId="0" applyNumberFormat="1" applyFill="1">
      <alignment vertical="center"/>
    </xf>
    <xf numFmtId="0" fontId="0" fillId="4" borderId="1" xfId="0" applyFill="1" applyBorder="1" applyAlignment="1">
      <alignment horizontal="center" vertical="center"/>
    </xf>
    <xf numFmtId="43" fontId="0" fillId="4" borderId="1" xfId="0" applyNumberFormat="1" applyFont="1" applyFill="1" applyBorder="1" applyAlignment="1">
      <alignment horizontal="center" vertical="center"/>
    </xf>
    <xf numFmtId="43" fontId="0" fillId="4" borderId="1" xfId="0" applyNumberFormat="1" applyFill="1" applyBorder="1" applyAlignment="1">
      <alignment horizontal="center" vertical="center" wrapText="1"/>
    </xf>
    <xf numFmtId="43" fontId="0" fillId="4" borderId="1" xfId="0" applyNumberFormat="1" applyFill="1" applyBorder="1" applyAlignment="1">
      <alignment vertical="center"/>
    </xf>
    <xf numFmtId="43" fontId="0" fillId="4" borderId="1" xfId="0" applyNumberFormat="1" applyFill="1" applyBorder="1" applyAlignment="1">
      <alignment horizontal="center" vertical="center"/>
    </xf>
    <xf numFmtId="43" fontId="1" fillId="4" borderId="1" xfId="0" applyNumberFormat="1" applyFont="1" applyFill="1" applyBorder="1" applyAlignment="1">
      <alignment horizontal="center" vertical="center"/>
    </xf>
    <xf numFmtId="43" fontId="2" fillId="4" borderId="1" xfId="0" applyNumberFormat="1" applyFont="1" applyFill="1" applyBorder="1" applyAlignment="1">
      <alignment horizontal="center" vertical="center"/>
    </xf>
    <xf numFmtId="0" fontId="3" fillId="2" borderId="0" xfId="0" applyFont="1" applyFill="1" applyBorder="1" applyAlignment="1">
      <alignment horizontal="center" vertical="center"/>
    </xf>
    <xf numFmtId="43" fontId="0" fillId="3" borderId="0" xfId="0" applyNumberFormat="1" applyFill="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pplyProtection="1">
      <alignment horizontal="center" vertical="center"/>
      <protection locked="0"/>
    </xf>
    <xf numFmtId="43" fontId="0" fillId="0" borderId="1" xfId="0" applyNumberFormat="1" applyBorder="1" applyAlignment="1">
      <alignment horizontal="center" vertical="center"/>
    </xf>
    <xf numFmtId="43" fontId="0" fillId="0" borderId="1" xfId="0" applyNumberFormat="1" applyBorder="1" applyAlignment="1">
      <alignment vertical="center"/>
    </xf>
    <xf numFmtId="176" fontId="0" fillId="2" borderId="1" xfId="0" applyNumberForma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3" fillId="2" borderId="0" xfId="0" applyNumberFormat="1" applyFont="1" applyFill="1" applyAlignment="1">
      <alignment horizontal="center" vertical="center" wrapText="1"/>
    </xf>
    <xf numFmtId="177" fontId="5" fillId="0" borderId="1"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protection locked="0"/>
    </xf>
    <xf numFmtId="43" fontId="4" fillId="0" borderId="1" xfId="0" applyNumberFormat="1" applyFont="1" applyBorder="1" applyAlignment="1">
      <alignment horizontal="center" vertical="center"/>
    </xf>
    <xf numFmtId="43" fontId="0" fillId="0" borderId="1" xfId="0" applyNumberFormat="1" applyFont="1" applyBorder="1" applyAlignment="1">
      <alignment horizontal="center" vertical="center"/>
    </xf>
    <xf numFmtId="43" fontId="4" fillId="0" borderId="1" xfId="0" applyNumberFormat="1" applyFont="1" applyBorder="1" applyAlignment="1">
      <alignment vertical="center"/>
    </xf>
    <xf numFmtId="43"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43" fontId="1" fillId="2" borderId="1" xfId="0" applyNumberFormat="1" applyFont="1" applyFill="1" applyBorder="1" applyAlignment="1">
      <alignment horizontal="center" vertical="center"/>
    </xf>
    <xf numFmtId="43" fontId="2" fillId="2" borderId="1" xfId="0" applyNumberFormat="1" applyFont="1" applyFill="1" applyBorder="1" applyAlignment="1">
      <alignment horizontal="center" vertical="center"/>
    </xf>
    <xf numFmtId="43" fontId="2" fillId="0" borderId="0" xfId="0" applyNumberFormat="1" applyFont="1" applyFill="1" applyAlignment="1">
      <alignment horizontal="center" vertical="center"/>
    </xf>
    <xf numFmtId="43" fontId="7" fillId="0" borderId="0" xfId="0" applyNumberFormat="1" applyFont="1" applyFill="1" applyAlignment="1">
      <alignment horizontal="center" vertical="center"/>
    </xf>
    <xf numFmtId="0" fontId="8" fillId="0" borderId="0" xfId="0" applyFont="1" applyAlignment="1">
      <alignment horizontal="center" vertical="center"/>
    </xf>
    <xf numFmtId="43" fontId="9" fillId="0" borderId="0" xfId="0" applyNumberFormat="1" applyFont="1" applyFill="1" applyAlignment="1">
      <alignment horizontal="center" vertical="center"/>
    </xf>
    <xf numFmtId="43" fontId="7" fillId="0" borderId="0" xfId="0" applyNumberFormat="1" applyFont="1" applyFill="1" applyBorder="1" applyAlignment="1">
      <alignment horizontal="center" vertical="center"/>
    </xf>
    <xf numFmtId="43" fontId="1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3" fillId="5" borderId="1" xfId="0" applyNumberFormat="1" applyFont="1" applyFill="1" applyBorder="1" applyAlignment="1">
      <alignment vertical="center"/>
    </xf>
    <xf numFmtId="49" fontId="3" fillId="5" borderId="1" xfId="0" applyNumberFormat="1" applyFont="1" applyFill="1" applyBorder="1">
      <alignment vertical="center"/>
    </xf>
    <xf numFmtId="0" fontId="3" fillId="5" borderId="1" xfId="0" applyFont="1" applyFill="1" applyBorder="1">
      <alignment vertical="center"/>
    </xf>
    <xf numFmtId="49" fontId="3" fillId="6" borderId="1" xfId="0" applyNumberFormat="1" applyFont="1" applyFill="1" applyBorder="1" applyAlignment="1">
      <alignment vertical="center"/>
    </xf>
    <xf numFmtId="49" fontId="3" fillId="6" borderId="1" xfId="0" applyNumberFormat="1" applyFont="1" applyFill="1" applyBorder="1">
      <alignment vertical="center"/>
    </xf>
    <xf numFmtId="49" fontId="3" fillId="6" borderId="1" xfId="0" applyNumberFormat="1" applyFont="1" applyFill="1" applyBorder="1" applyAlignment="1">
      <alignment vertical="center" wrapText="1"/>
    </xf>
    <xf numFmtId="0" fontId="3" fillId="6" borderId="1" xfId="0" applyFont="1" applyFill="1" applyBorder="1">
      <alignment vertical="center"/>
    </xf>
    <xf numFmtId="0" fontId="3" fillId="5" borderId="1" xfId="0" applyFont="1" applyFill="1" applyBorder="1" applyAlignment="1">
      <alignment vertical="center"/>
    </xf>
    <xf numFmtId="49" fontId="12" fillId="0" borderId="1" xfId="0" applyNumberFormat="1" applyFont="1" applyFill="1" applyBorder="1" applyAlignment="1">
      <alignment horizontal="left" vertical="center"/>
    </xf>
    <xf numFmtId="0" fontId="12" fillId="0" borderId="1" xfId="0" applyFont="1" applyFill="1" applyBorder="1" applyAlignment="1">
      <alignment horizontal="left"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5" fillId="7" borderId="1" xfId="0" applyNumberFormat="1" applyFont="1" applyFill="1" applyBorder="1" applyAlignment="1">
      <alignment horizontal="center" vertical="center" wrapText="1"/>
    </xf>
    <xf numFmtId="177" fontId="15"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178" fontId="6" fillId="7" borderId="1" xfId="0" applyNumberFormat="1" applyFont="1" applyFill="1" applyBorder="1" applyAlignment="1">
      <alignment horizontal="center" vertical="center"/>
    </xf>
    <xf numFmtId="0" fontId="0" fillId="0" borderId="5" xfId="0" applyBorder="1" applyAlignment="1">
      <alignment horizontal="center" vertical="center"/>
    </xf>
    <xf numFmtId="179" fontId="6" fillId="7" borderId="1" xfId="0" applyNumberFormat="1" applyFont="1" applyFill="1" applyBorder="1" applyAlignment="1">
      <alignment horizontal="center" vertical="center" wrapText="1"/>
    </xf>
    <xf numFmtId="178" fontId="6" fillId="7" borderId="1" xfId="0" applyNumberFormat="1" applyFont="1" applyFill="1" applyBorder="1" applyAlignment="1">
      <alignment horizontal="center" vertical="center" wrapText="1"/>
    </xf>
    <xf numFmtId="0" fontId="0" fillId="0" borderId="6" xfId="0" applyBorder="1" applyAlignment="1">
      <alignment horizontal="center" vertical="center"/>
    </xf>
    <xf numFmtId="14" fontId="16" fillId="8" borderId="6" xfId="0" applyNumberFormat="1" applyFont="1" applyFill="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xf>
    <xf numFmtId="0" fontId="17" fillId="0" borderId="1" xfId="0" applyFont="1" applyBorder="1" applyAlignment="1">
      <alignment horizontal="center" vertical="center"/>
    </xf>
    <xf numFmtId="14" fontId="16" fillId="8" borderId="1" xfId="0" applyNumberFormat="1" applyFont="1" applyFill="1" applyBorder="1" applyAlignment="1">
      <alignment horizontal="center" vertical="center"/>
    </xf>
    <xf numFmtId="0" fontId="0" fillId="0" borderId="7" xfId="0" applyBorder="1" applyAlignment="1">
      <alignment horizontal="center" vertical="center" wrapText="1"/>
    </xf>
    <xf numFmtId="0" fontId="18" fillId="0" borderId="0" xfId="0" applyFont="1" applyAlignment="1">
      <alignment horizontal="center" vertical="center"/>
    </xf>
    <xf numFmtId="0" fontId="17" fillId="0" borderId="1" xfId="0" applyFont="1" applyBorder="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14" fontId="16" fillId="8" borderId="5"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0" fontId="19" fillId="0" borderId="0" xfId="0" applyFont="1" applyFill="1" applyAlignment="1">
      <alignment horizontal="center" vertical="center"/>
    </xf>
    <xf numFmtId="177" fontId="19" fillId="0" borderId="0" xfId="0" applyNumberFormat="1" applyFont="1" applyAlignment="1">
      <alignment horizontal="center" vertical="center"/>
    </xf>
    <xf numFmtId="177" fontId="19" fillId="0" borderId="0" xfId="0" applyNumberFormat="1" applyFont="1" applyAlignment="1">
      <alignment horizontal="center" vertical="center" wrapText="1"/>
    </xf>
    <xf numFmtId="177" fontId="19" fillId="0" borderId="0" xfId="0" applyNumberFormat="1" applyFont="1" applyFill="1" applyAlignment="1">
      <alignment horizontal="center" vertical="center"/>
    </xf>
    <xf numFmtId="0" fontId="19" fillId="0" borderId="0" xfId="0" applyFont="1" applyAlignment="1">
      <alignment horizontal="center" vertical="center"/>
    </xf>
    <xf numFmtId="177" fontId="19" fillId="8" borderId="0" xfId="0" applyNumberFormat="1" applyFont="1" applyFill="1" applyAlignment="1">
      <alignment horizontal="center" vertical="center"/>
    </xf>
    <xf numFmtId="177" fontId="19" fillId="8" borderId="0" xfId="0" applyNumberFormat="1" applyFont="1" applyFill="1" applyAlignment="1">
      <alignment horizontal="center" vertical="center" wrapText="1"/>
    </xf>
    <xf numFmtId="177" fontId="20" fillId="6" borderId="1" xfId="0" applyNumberFormat="1" applyFont="1" applyFill="1" applyBorder="1" applyAlignment="1">
      <alignment horizontal="center" vertical="center"/>
    </xf>
    <xf numFmtId="177" fontId="19" fillId="6" borderId="5" xfId="0" applyNumberFormat="1" applyFont="1" applyFill="1" applyBorder="1" applyAlignment="1">
      <alignment horizontal="center" vertical="center" wrapText="1"/>
    </xf>
    <xf numFmtId="177" fontId="19" fillId="6" borderId="1" xfId="0" applyNumberFormat="1" applyFont="1" applyFill="1" applyBorder="1" applyAlignment="1">
      <alignment horizontal="center" vertical="center" wrapText="1"/>
    </xf>
    <xf numFmtId="177" fontId="19" fillId="6" borderId="8" xfId="0" applyNumberFormat="1" applyFont="1" applyFill="1" applyBorder="1" applyAlignment="1">
      <alignment horizontal="center" vertical="center" wrapText="1"/>
    </xf>
    <xf numFmtId="177" fontId="19" fillId="6" borderId="9" xfId="0" applyNumberFormat="1" applyFont="1" applyFill="1" applyBorder="1" applyAlignment="1">
      <alignment horizontal="center" vertical="center" wrapText="1"/>
    </xf>
    <xf numFmtId="177" fontId="19" fillId="6" borderId="10" xfId="0" applyNumberFormat="1" applyFont="1" applyFill="1" applyBorder="1" applyAlignment="1">
      <alignment horizontal="center" vertical="center" wrapText="1"/>
    </xf>
    <xf numFmtId="177" fontId="19" fillId="6" borderId="0" xfId="0" applyNumberFormat="1" applyFont="1" applyFill="1" applyAlignment="1">
      <alignment horizontal="center" vertical="center"/>
    </xf>
    <xf numFmtId="177" fontId="19" fillId="6" borderId="6" xfId="0" applyNumberFormat="1" applyFont="1" applyFill="1" applyBorder="1" applyAlignment="1">
      <alignment horizontal="center" vertical="center"/>
    </xf>
    <xf numFmtId="177" fontId="19" fillId="6" borderId="6" xfId="0" applyNumberFormat="1" applyFont="1" applyFill="1" applyBorder="1" applyAlignment="1">
      <alignment horizontal="center" vertical="center" wrapText="1"/>
    </xf>
    <xf numFmtId="177" fontId="19" fillId="6" borderId="4" xfId="0" applyNumberFormat="1" applyFont="1" applyFill="1" applyBorder="1" applyAlignment="1">
      <alignment horizontal="center" vertical="center" wrapText="1"/>
    </xf>
    <xf numFmtId="177" fontId="19" fillId="6" borderId="1" xfId="0" applyNumberFormat="1" applyFont="1" applyFill="1" applyBorder="1" applyAlignment="1">
      <alignment horizontal="center" vertical="center"/>
    </xf>
    <xf numFmtId="177" fontId="19" fillId="0" borderId="1" xfId="0" applyNumberFormat="1" applyFont="1" applyBorder="1" applyAlignment="1">
      <alignment horizontal="center" vertical="center"/>
    </xf>
    <xf numFmtId="177" fontId="21" fillId="0" borderId="1" xfId="0" applyNumberFormat="1" applyFont="1" applyBorder="1" applyAlignment="1">
      <alignment horizontal="center" vertical="center"/>
    </xf>
    <xf numFmtId="177" fontId="19" fillId="8" borderId="11" xfId="0" applyNumberFormat="1" applyFont="1" applyFill="1" applyBorder="1" applyAlignment="1">
      <alignment horizontal="center" vertical="center" wrapText="1"/>
    </xf>
    <xf numFmtId="177" fontId="19" fillId="0" borderId="1" xfId="0" applyNumberFormat="1" applyFont="1" applyBorder="1" applyAlignment="1">
      <alignment horizontal="center" vertical="center" wrapText="1"/>
    </xf>
    <xf numFmtId="177" fontId="19" fillId="8" borderId="1" xfId="0" applyNumberFormat="1" applyFont="1" applyFill="1" applyBorder="1" applyAlignment="1">
      <alignment horizontal="center" vertical="center"/>
    </xf>
    <xf numFmtId="177" fontId="20" fillId="0" borderId="1" xfId="0" applyNumberFormat="1" applyFont="1" applyBorder="1" applyAlignment="1">
      <alignment horizontal="center" vertical="center"/>
    </xf>
    <xf numFmtId="177" fontId="19" fillId="0" borderId="2" xfId="0" applyNumberFormat="1" applyFont="1" applyBorder="1" applyAlignment="1">
      <alignment horizontal="center" vertical="center"/>
    </xf>
    <xf numFmtId="177" fontId="0" fillId="0" borderId="0" xfId="0" applyNumberFormat="1" applyFill="1" applyAlignment="1">
      <alignment horizontal="center" vertical="center"/>
    </xf>
    <xf numFmtId="177" fontId="19" fillId="6" borderId="2" xfId="0" applyNumberFormat="1" applyFont="1" applyFill="1" applyBorder="1" applyAlignment="1">
      <alignment horizontal="center" vertical="center" wrapText="1"/>
    </xf>
    <xf numFmtId="177" fontId="19" fillId="6" borderId="3" xfId="0" applyNumberFormat="1" applyFont="1" applyFill="1" applyBorder="1" applyAlignment="1">
      <alignment horizontal="center" vertical="center" wrapText="1"/>
    </xf>
    <xf numFmtId="177" fontId="19" fillId="0" borderId="2" xfId="0" applyNumberFormat="1" applyFont="1" applyBorder="1" applyAlignment="1">
      <alignment vertical="center"/>
    </xf>
    <xf numFmtId="177" fontId="19" fillId="6" borderId="12" xfId="0" applyNumberFormat="1" applyFont="1" applyFill="1" applyBorder="1" applyAlignment="1">
      <alignment horizontal="center" vertical="center" wrapText="1"/>
    </xf>
    <xf numFmtId="177" fontId="19" fillId="0" borderId="1" xfId="0" applyNumberFormat="1" applyFont="1" applyBorder="1" applyAlignment="1">
      <alignment vertical="center"/>
    </xf>
    <xf numFmtId="177" fontId="19" fillId="8" borderId="6" xfId="0" applyNumberFormat="1" applyFont="1" applyFill="1" applyBorder="1" applyAlignment="1">
      <alignment horizontal="center" vertical="center"/>
    </xf>
    <xf numFmtId="177" fontId="19" fillId="0" borderId="6" xfId="0" applyNumberFormat="1" applyFont="1" applyFill="1" applyBorder="1" applyAlignment="1">
      <alignment horizontal="center" vertical="center"/>
    </xf>
    <xf numFmtId="177" fontId="20" fillId="8" borderId="1" xfId="0" applyNumberFormat="1" applyFont="1" applyFill="1" applyBorder="1" applyAlignment="1">
      <alignment horizontal="center" vertical="center"/>
    </xf>
    <xf numFmtId="177" fontId="19" fillId="8"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xf>
    <xf numFmtId="0" fontId="19" fillId="0" borderId="1" xfId="0" applyFont="1" applyBorder="1" applyAlignment="1">
      <alignment horizontal="center" vertical="center"/>
    </xf>
    <xf numFmtId="177" fontId="21" fillId="9" borderId="0" xfId="0" applyNumberFormat="1" applyFont="1" applyFill="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177" fontId="19" fillId="10" borderId="0" xfId="0" applyNumberFormat="1" applyFont="1" applyFill="1" applyAlignment="1">
      <alignment horizontal="center" vertical="center"/>
    </xf>
    <xf numFmtId="177" fontId="19" fillId="11" borderId="0" xfId="0" applyNumberFormat="1" applyFont="1" applyFill="1" applyAlignment="1">
      <alignment horizontal="center" vertical="center"/>
    </xf>
    <xf numFmtId="177" fontId="19" fillId="0" borderId="3" xfId="0" applyNumberFormat="1" applyFont="1" applyBorder="1" applyAlignment="1">
      <alignment horizontal="center" vertical="center"/>
    </xf>
    <xf numFmtId="177" fontId="19" fillId="0" borderId="0" xfId="0" applyNumberFormat="1" applyFont="1" applyBorder="1" applyAlignment="1">
      <alignment horizontal="center" vertical="center" wrapText="1"/>
    </xf>
    <xf numFmtId="177" fontId="19" fillId="0" borderId="0"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13;&#21335;&#20013;&#39640;\&#26032;&#30086;&#32467;&#31639;\&#26356;&#26032;&#21040;10-11&#26376;\2026&#24180;&#21033;&#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利息表2026"/>
      <sheetName val="新疆项目回款统计"/>
      <sheetName val="代垫支援人员工资、社保"/>
      <sheetName val="云南上海代垫付支出"/>
      <sheetName val="转新疆各分公司往来"/>
      <sheetName val="新疆公司还款2025年12月-2026年12月"/>
    </sheetNames>
    <sheetDataSet>
      <sheetData sheetId="0"/>
      <sheetData sheetId="1">
        <row r="33">
          <cell r="D33">
            <v>5803459.82</v>
          </cell>
        </row>
      </sheetData>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2"/>
  <sheetViews>
    <sheetView tabSelected="1" zoomScale="90" zoomScaleNormal="90" topLeftCell="A65" workbookViewId="0">
      <selection activeCell="A73" sqref="A73:I73"/>
    </sheetView>
  </sheetViews>
  <sheetFormatPr defaultColWidth="9" defaultRowHeight="14.25"/>
  <cols>
    <col min="1" max="1" width="19.3333333333333" style="106" customWidth="1"/>
    <col min="2" max="2" width="14.4416666666667" style="106" customWidth="1"/>
    <col min="3" max="3" width="11.9416666666667" style="106" customWidth="1"/>
    <col min="4" max="4" width="13.2" style="106" customWidth="1"/>
    <col min="5" max="5" width="9.575" style="106" customWidth="1"/>
    <col min="6" max="6" width="14.3333333333333" style="106" customWidth="1"/>
    <col min="7" max="7" width="12.3333333333333" style="106" customWidth="1"/>
    <col min="8" max="8" width="13.4416666666667" style="106" customWidth="1"/>
    <col min="9" max="9" width="21.25" style="107" customWidth="1"/>
    <col min="10" max="10" width="23.6666666666667" style="106" customWidth="1"/>
    <col min="11" max="11" width="32.0833333333333" style="106" customWidth="1"/>
    <col min="12" max="12" width="14.2166666666667" style="106" customWidth="1"/>
    <col min="13" max="13" width="22.2166666666667" style="106" customWidth="1"/>
    <col min="14" max="14" width="12.6333333333333" style="108" customWidth="1"/>
    <col min="15" max="16384" width="9" style="109"/>
  </cols>
  <sheetData>
    <row r="1" spans="1:14">
      <c r="A1" s="110"/>
      <c r="B1" s="110"/>
      <c r="C1" s="110"/>
      <c r="D1" s="110"/>
      <c r="E1" s="110"/>
      <c r="F1" s="110"/>
      <c r="G1" s="110"/>
      <c r="H1" s="110"/>
      <c r="I1" s="111"/>
      <c r="J1" s="110"/>
      <c r="K1" s="110"/>
      <c r="L1" s="110"/>
      <c r="M1" s="110"/>
    </row>
    <row r="2" ht="19.05" customHeight="1" spans="1:14">
      <c r="A2" s="112" t="s">
        <v>0</v>
      </c>
      <c r="B2" s="112"/>
      <c r="C2" s="112"/>
      <c r="D2" s="112"/>
      <c r="E2" s="112"/>
      <c r="F2" s="112"/>
      <c r="G2" s="112"/>
      <c r="H2" s="112"/>
      <c r="I2" s="112"/>
      <c r="J2" s="112"/>
      <c r="K2" s="112"/>
      <c r="L2" s="112"/>
      <c r="M2" s="112"/>
    </row>
    <row r="3" ht="31.2" customHeight="1" spans="1:14">
      <c r="A3" s="113" t="s">
        <v>1</v>
      </c>
      <c r="B3" s="114" t="s">
        <v>2</v>
      </c>
      <c r="C3" s="113" t="s">
        <v>3</v>
      </c>
      <c r="D3" s="114"/>
      <c r="E3" s="115" t="s">
        <v>4</v>
      </c>
      <c r="F3" s="116"/>
      <c r="G3" s="116"/>
      <c r="H3" s="116"/>
      <c r="I3" s="116"/>
      <c r="J3" s="116"/>
      <c r="K3" s="117"/>
      <c r="L3" s="118"/>
      <c r="M3" s="114" t="s">
        <v>5</v>
      </c>
    </row>
    <row r="4" ht="42.75" spans="1:14">
      <c r="A4" s="119"/>
      <c r="B4" s="114" t="s">
        <v>6</v>
      </c>
      <c r="C4" s="120"/>
      <c r="D4" s="120" t="s">
        <v>7</v>
      </c>
      <c r="E4" s="114" t="s">
        <v>8</v>
      </c>
      <c r="F4" s="114" t="s">
        <v>9</v>
      </c>
      <c r="G4" s="114" t="s">
        <v>10</v>
      </c>
      <c r="H4" s="114" t="s">
        <v>11</v>
      </c>
      <c r="I4" s="114" t="s">
        <v>12</v>
      </c>
      <c r="J4" s="114" t="s">
        <v>13</v>
      </c>
      <c r="K4" s="121" t="s">
        <v>14</v>
      </c>
      <c r="L4" s="118" t="s">
        <v>15</v>
      </c>
      <c r="M4" s="122" t="s">
        <v>16</v>
      </c>
    </row>
    <row r="5" ht="25" customHeight="1" spans="1:14">
      <c r="A5" s="123" t="s">
        <v>17</v>
      </c>
      <c r="B5" s="123">
        <f>'12月日记账'!B45</f>
        <v>1007191.97</v>
      </c>
      <c r="C5" s="123">
        <f>B5</f>
        <v>1007191.97</v>
      </c>
      <c r="D5" s="124">
        <f>'12月回款'!H4</f>
        <v>19800</v>
      </c>
      <c r="E5" s="125">
        <f>D5/1.05*0.05*0.12/2</f>
        <v>56.5714285714286</v>
      </c>
      <c r="F5" s="123"/>
      <c r="G5" s="123"/>
      <c r="H5" s="123"/>
      <c r="I5" s="126"/>
      <c r="J5" s="123"/>
      <c r="K5" s="123">
        <f>E5+F5+G5+H5+I5+J5</f>
        <v>56.5714285714286</v>
      </c>
      <c r="L5" s="123">
        <f>D5/1.05*0.05</f>
        <v>942.857142857143</v>
      </c>
      <c r="M5" s="127">
        <f>D5-K5-L5</f>
        <v>18800.5714285714</v>
      </c>
    </row>
    <row r="6" ht="25" customHeight="1" spans="1:14">
      <c r="A6" s="128" t="s">
        <v>18</v>
      </c>
      <c r="B6" s="123">
        <f>SUM(B5:B5)</f>
        <v>1007191.97</v>
      </c>
      <c r="C6" s="123">
        <f>SUM(C5:C5)</f>
        <v>1007191.97</v>
      </c>
      <c r="D6" s="123">
        <f>SUM(D5:D5)</f>
        <v>19800</v>
      </c>
      <c r="E6" s="129">
        <f>SUM(E5:E5)</f>
        <v>56.5714285714286</v>
      </c>
      <c r="F6" s="123">
        <f t="shared" ref="F6:N6" si="0">SUM(F5:F5)</f>
        <v>0</v>
      </c>
      <c r="G6" s="123">
        <f t="shared" si="0"/>
        <v>0</v>
      </c>
      <c r="H6" s="123">
        <f t="shared" si="0"/>
        <v>0</v>
      </c>
      <c r="I6" s="123">
        <f t="shared" si="0"/>
        <v>0</v>
      </c>
      <c r="J6" s="123">
        <f t="shared" si="0"/>
        <v>0</v>
      </c>
      <c r="K6" s="123">
        <f t="shared" si="0"/>
        <v>56.5714285714286</v>
      </c>
      <c r="L6" s="123">
        <f t="shared" si="0"/>
        <v>942.857142857143</v>
      </c>
      <c r="M6" s="123">
        <f t="shared" si="0"/>
        <v>18800.5714285714</v>
      </c>
      <c r="N6" s="108">
        <f>M6</f>
        <v>18800.5714285714</v>
      </c>
    </row>
    <row r="8" spans="1:14">
      <c r="A8" s="112" t="s">
        <v>19</v>
      </c>
      <c r="B8" s="112"/>
      <c r="C8" s="112"/>
      <c r="D8" s="112"/>
      <c r="E8" s="112"/>
      <c r="F8" s="112"/>
      <c r="G8" s="112"/>
      <c r="H8" s="112"/>
      <c r="I8" s="112"/>
      <c r="J8" s="112"/>
      <c r="K8" s="112"/>
      <c r="L8" s="112"/>
      <c r="M8" s="112"/>
      <c r="N8" s="130"/>
    </row>
    <row r="9" ht="28.5" spans="1:14">
      <c r="A9" s="113" t="s">
        <v>1</v>
      </c>
      <c r="B9" s="114" t="s">
        <v>2</v>
      </c>
      <c r="C9" s="113" t="s">
        <v>3</v>
      </c>
      <c r="D9" s="131" t="s">
        <v>4</v>
      </c>
      <c r="E9" s="132"/>
      <c r="F9" s="132"/>
      <c r="G9" s="132"/>
      <c r="H9" s="132"/>
      <c r="I9" s="132"/>
      <c r="J9" s="132"/>
      <c r="K9" s="132"/>
      <c r="L9" s="121"/>
      <c r="M9" s="114" t="s">
        <v>5</v>
      </c>
      <c r="N9" s="130"/>
    </row>
    <row r="10" ht="42.75" spans="1:14">
      <c r="A10" s="119"/>
      <c r="B10" s="114" t="s">
        <v>20</v>
      </c>
      <c r="C10" s="120"/>
      <c r="D10" s="120" t="s">
        <v>7</v>
      </c>
      <c r="E10" s="114" t="s">
        <v>8</v>
      </c>
      <c r="F10" s="114" t="s">
        <v>9</v>
      </c>
      <c r="G10" s="114" t="s">
        <v>10</v>
      </c>
      <c r="H10" s="114" t="s">
        <v>11</v>
      </c>
      <c r="I10" s="114" t="s">
        <v>12</v>
      </c>
      <c r="J10" s="114" t="s">
        <v>13</v>
      </c>
      <c r="K10" s="121" t="s">
        <v>14</v>
      </c>
      <c r="L10" s="118" t="s">
        <v>21</v>
      </c>
      <c r="M10" s="122" t="s">
        <v>22</v>
      </c>
      <c r="N10" s="130"/>
    </row>
    <row r="11" ht="20" customHeight="1" spans="1:14">
      <c r="A11" s="123" t="s">
        <v>17</v>
      </c>
      <c r="B11" s="123">
        <f>'12月日记账'!B50</f>
        <v>235273.8</v>
      </c>
      <c r="C11" s="123">
        <f>B11</f>
        <v>235273.8</v>
      </c>
      <c r="D11" s="1"/>
      <c r="E11" s="133">
        <f>C11/1.06*0.06*0.12/2</f>
        <v>799.043094339622</v>
      </c>
      <c r="F11" s="19"/>
      <c r="G11" s="123"/>
      <c r="H11" s="123"/>
      <c r="I11" s="126"/>
      <c r="J11" s="123"/>
      <c r="K11" s="127">
        <f>SUM(E11:J11)</f>
        <v>799.043094339622</v>
      </c>
      <c r="L11" s="127">
        <f>C11/1.06*0.06</f>
        <v>13317.3849056604</v>
      </c>
      <c r="M11" s="127">
        <f>C11-K11-L11</f>
        <v>221157.372</v>
      </c>
      <c r="N11" s="130"/>
    </row>
    <row r="12" ht="20" customHeight="1" spans="1:14">
      <c r="A12" s="123" t="s">
        <v>18</v>
      </c>
      <c r="B12" s="123">
        <f t="shared" ref="B12:N12" si="1">SUM(B11:B11)</f>
        <v>235273.8</v>
      </c>
      <c r="C12" s="123">
        <f t="shared" si="1"/>
        <v>235273.8</v>
      </c>
      <c r="D12" s="123">
        <f t="shared" si="1"/>
        <v>0</v>
      </c>
      <c r="E12" s="129">
        <f t="shared" si="1"/>
        <v>799.043094339622</v>
      </c>
      <c r="F12" s="123">
        <f t="shared" si="1"/>
        <v>0</v>
      </c>
      <c r="G12" s="123">
        <f t="shared" si="1"/>
        <v>0</v>
      </c>
      <c r="H12" s="123">
        <f t="shared" si="1"/>
        <v>0</v>
      </c>
      <c r="I12" s="123">
        <f t="shared" si="1"/>
        <v>0</v>
      </c>
      <c r="J12" s="123">
        <f t="shared" si="1"/>
        <v>0</v>
      </c>
      <c r="K12" s="123">
        <f t="shared" si="1"/>
        <v>799.043094339622</v>
      </c>
      <c r="L12" s="123">
        <f t="shared" si="1"/>
        <v>13317.3849056604</v>
      </c>
      <c r="M12" s="123">
        <f t="shared" si="1"/>
        <v>221157.372</v>
      </c>
      <c r="N12" s="108">
        <f>M12</f>
        <v>221157.372</v>
      </c>
    </row>
    <row r="15" spans="1:14">
      <c r="A15" s="112" t="s">
        <v>23</v>
      </c>
      <c r="B15" s="112"/>
      <c r="C15" s="112"/>
      <c r="D15" s="112"/>
      <c r="E15" s="112"/>
      <c r="F15" s="112"/>
      <c r="G15" s="112"/>
      <c r="H15" s="112"/>
      <c r="I15" s="112"/>
      <c r="J15" s="112"/>
      <c r="K15" s="112"/>
      <c r="L15" s="112"/>
      <c r="M15" s="112"/>
    </row>
    <row r="16" ht="28.5" spans="1:14">
      <c r="A16" s="113" t="s">
        <v>1</v>
      </c>
      <c r="B16" s="114" t="s">
        <v>2</v>
      </c>
      <c r="C16" s="113" t="s">
        <v>3</v>
      </c>
      <c r="D16" s="114" t="s">
        <v>4</v>
      </c>
      <c r="E16" s="114"/>
      <c r="F16" s="114"/>
      <c r="G16" s="114"/>
      <c r="H16" s="114"/>
      <c r="I16" s="114"/>
      <c r="J16" s="114"/>
      <c r="K16" s="114"/>
      <c r="L16" s="114"/>
      <c r="M16" s="114" t="s">
        <v>5</v>
      </c>
    </row>
    <row r="17" ht="42.75" spans="1:14">
      <c r="A17" s="119"/>
      <c r="B17" s="114" t="s">
        <v>24</v>
      </c>
      <c r="C17" s="120"/>
      <c r="D17" s="120" t="s">
        <v>7</v>
      </c>
      <c r="E17" s="114" t="s">
        <v>8</v>
      </c>
      <c r="F17" s="120" t="s">
        <v>9</v>
      </c>
      <c r="G17" s="120" t="s">
        <v>10</v>
      </c>
      <c r="H17" s="120" t="s">
        <v>11</v>
      </c>
      <c r="I17" s="120" t="s">
        <v>12</v>
      </c>
      <c r="J17" s="114" t="s">
        <v>13</v>
      </c>
      <c r="K17" s="134" t="s">
        <v>14</v>
      </c>
      <c r="L17" s="119" t="s">
        <v>21</v>
      </c>
      <c r="M17" s="122" t="s">
        <v>16</v>
      </c>
    </row>
    <row r="18" ht="19" customHeight="1" spans="1:14">
      <c r="A18" s="123" t="s">
        <v>17</v>
      </c>
      <c r="B18" s="19">
        <f>'12月日记账'!B46</f>
        <v>160072.01</v>
      </c>
      <c r="C18" s="123">
        <f>B18</f>
        <v>160072.01</v>
      </c>
      <c r="E18" s="133">
        <f>C18/1.06*0.06*0.12/2</f>
        <v>543.640788679245</v>
      </c>
      <c r="F18" s="123">
        <v>465.41</v>
      </c>
      <c r="G18" s="123"/>
      <c r="H18" s="123"/>
      <c r="I18" s="126"/>
      <c r="K18" s="127">
        <f>SUM(E18:J18)</f>
        <v>1009.05078867924</v>
      </c>
      <c r="L18" s="127">
        <f>K18/1.06*0.06</f>
        <v>57.1160823780702</v>
      </c>
      <c r="M18" s="127">
        <f>C18-K18-L18</f>
        <v>159005.843128943</v>
      </c>
    </row>
    <row r="19" ht="19" customHeight="1" spans="1:14">
      <c r="A19" s="123" t="s">
        <v>18</v>
      </c>
      <c r="B19" s="123">
        <f>SUM(B18:B18)</f>
        <v>160072.01</v>
      </c>
      <c r="C19" s="123">
        <f>SUM(C18:C18)</f>
        <v>160072.01</v>
      </c>
      <c r="D19" s="123">
        <f>SUM(D18:D18)</f>
        <v>0</v>
      </c>
      <c r="E19" s="123">
        <f>SUM(E18:E18)</f>
        <v>543.640788679245</v>
      </c>
      <c r="F19" s="123">
        <f>SUM(F18:F18)</f>
        <v>465.41</v>
      </c>
      <c r="G19" s="123">
        <f t="shared" ref="F19:N19" si="2">SUM(G18:G18)</f>
        <v>0</v>
      </c>
      <c r="H19" s="123">
        <f t="shared" si="2"/>
        <v>0</v>
      </c>
      <c r="I19" s="123">
        <f t="shared" si="2"/>
        <v>0</v>
      </c>
      <c r="J19" s="123">
        <f t="shared" si="2"/>
        <v>0</v>
      </c>
      <c r="K19" s="123">
        <f t="shared" si="2"/>
        <v>1009.05078867924</v>
      </c>
      <c r="L19" s="123">
        <f t="shared" si="2"/>
        <v>57.1160823780702</v>
      </c>
      <c r="M19" s="123">
        <f t="shared" si="2"/>
        <v>159005.843128943</v>
      </c>
      <c r="N19" s="108">
        <f>M19</f>
        <v>159005.843128943</v>
      </c>
    </row>
    <row r="22" spans="1:14">
      <c r="I22" s="106"/>
    </row>
    <row r="24" ht="29" customHeight="1" spans="1:14">
      <c r="A24" s="112" t="s">
        <v>25</v>
      </c>
      <c r="B24" s="112"/>
      <c r="C24" s="112"/>
      <c r="D24" s="112"/>
      <c r="E24" s="112"/>
      <c r="F24" s="112"/>
      <c r="G24" s="112"/>
      <c r="H24" s="112"/>
      <c r="I24" s="112"/>
      <c r="J24" s="112"/>
      <c r="K24" s="112"/>
      <c r="L24" s="112"/>
      <c r="M24" s="112"/>
    </row>
    <row r="25" ht="28.5" spans="1:14">
      <c r="A25" s="113" t="s">
        <v>1</v>
      </c>
      <c r="B25" s="114" t="s">
        <v>26</v>
      </c>
      <c r="C25" s="113" t="s">
        <v>3</v>
      </c>
      <c r="D25" s="131" t="s">
        <v>4</v>
      </c>
      <c r="E25" s="132"/>
      <c r="F25" s="132"/>
      <c r="G25" s="132"/>
      <c r="H25" s="132"/>
      <c r="I25" s="132"/>
      <c r="J25" s="132"/>
      <c r="K25" s="132"/>
      <c r="L25" s="121"/>
      <c r="M25" s="114" t="s">
        <v>27</v>
      </c>
    </row>
    <row r="26" ht="34.95" customHeight="1" spans="1:14">
      <c r="A26" s="119"/>
      <c r="B26" s="114" t="s">
        <v>28</v>
      </c>
      <c r="C26" s="120"/>
      <c r="D26" s="120" t="s">
        <v>7</v>
      </c>
      <c r="E26" s="114" t="s">
        <v>8</v>
      </c>
      <c r="F26" s="114" t="s">
        <v>9</v>
      </c>
      <c r="G26" s="114" t="s">
        <v>10</v>
      </c>
      <c r="H26" s="114" t="s">
        <v>29</v>
      </c>
      <c r="I26" s="114" t="s">
        <v>12</v>
      </c>
      <c r="J26" s="114" t="s">
        <v>13</v>
      </c>
      <c r="K26" s="121" t="s">
        <v>14</v>
      </c>
      <c r="L26" s="118" t="s">
        <v>21</v>
      </c>
      <c r="M26" s="122" t="s">
        <v>16</v>
      </c>
    </row>
    <row r="27" ht="31.8" customHeight="1" spans="1:14">
      <c r="A27" s="123" t="s">
        <v>17</v>
      </c>
      <c r="B27" s="127">
        <f>'12月日记账'!B47</f>
        <v>2259529.79</v>
      </c>
      <c r="C27" s="127">
        <f>B27</f>
        <v>2259529.79</v>
      </c>
      <c r="E27" s="135">
        <f>C27/1.06*0.06*0.12/2</f>
        <v>7673.87475849057</v>
      </c>
      <c r="F27" s="136"/>
      <c r="G27" s="123"/>
      <c r="H27" s="123"/>
      <c r="I27" s="123">
        <v>481214.93</v>
      </c>
      <c r="J27" s="123"/>
      <c r="K27" s="137">
        <f>SUM(E27:J27)</f>
        <v>488888.804758491</v>
      </c>
      <c r="L27" s="123">
        <f>K27/1.06*0.06</f>
        <v>27672.9512127448</v>
      </c>
      <c r="M27" s="123">
        <f>C27-K27-L27</f>
        <v>1742968.03402876</v>
      </c>
    </row>
    <row r="28" ht="31.8" customHeight="1" spans="1:14">
      <c r="A28" s="138" t="s">
        <v>18</v>
      </c>
      <c r="B28" s="127">
        <f t="shared" ref="B28:M28" si="3">SUM(B27:B27)</f>
        <v>2259529.79</v>
      </c>
      <c r="C28" s="127">
        <f t="shared" si="3"/>
        <v>2259529.79</v>
      </c>
      <c r="D28" s="127">
        <f t="shared" si="3"/>
        <v>0</v>
      </c>
      <c r="E28" s="127">
        <f t="shared" si="3"/>
        <v>7673.87475849057</v>
      </c>
      <c r="F28" s="127">
        <f t="shared" si="3"/>
        <v>0</v>
      </c>
      <c r="G28" s="127">
        <f t="shared" si="3"/>
        <v>0</v>
      </c>
      <c r="H28" s="127">
        <f t="shared" si="3"/>
        <v>0</v>
      </c>
      <c r="I28" s="139">
        <f t="shared" si="3"/>
        <v>481214.93</v>
      </c>
      <c r="J28" s="139">
        <f t="shared" si="3"/>
        <v>0</v>
      </c>
      <c r="K28" s="139">
        <f t="shared" si="3"/>
        <v>488888.804758491</v>
      </c>
      <c r="L28" s="139">
        <f t="shared" si="3"/>
        <v>27672.9512127448</v>
      </c>
      <c r="M28" s="140">
        <f>C28-K28-L28</f>
        <v>1742968.03402876</v>
      </c>
      <c r="N28" s="108">
        <f>M28</f>
        <v>1742968.03402876</v>
      </c>
    </row>
    <row r="29" ht="31.8" customHeight="1"/>
    <row r="30" customFormat="1" ht="31.8" customHeight="1" spans="1:14">
      <c r="A30" s="112" t="s">
        <v>30</v>
      </c>
      <c r="B30" s="112"/>
      <c r="C30" s="112"/>
      <c r="D30" s="112"/>
      <c r="E30" s="112"/>
      <c r="F30" s="112"/>
      <c r="G30" s="112"/>
      <c r="H30" s="112"/>
      <c r="I30" s="112"/>
      <c r="J30" s="112"/>
      <c r="K30" s="112"/>
      <c r="L30" s="112"/>
      <c r="M30" s="112"/>
      <c r="N30" s="130"/>
    </row>
    <row r="31" customFormat="1" ht="31.8" customHeight="1" spans="1:14">
      <c r="A31" s="113" t="s">
        <v>1</v>
      </c>
      <c r="B31" s="114" t="s">
        <v>26</v>
      </c>
      <c r="C31" s="113" t="s">
        <v>3</v>
      </c>
      <c r="D31" s="131" t="s">
        <v>4</v>
      </c>
      <c r="E31" s="132"/>
      <c r="F31" s="132"/>
      <c r="G31" s="132"/>
      <c r="H31" s="132"/>
      <c r="I31" s="132"/>
      <c r="J31" s="132"/>
      <c r="K31" s="132"/>
      <c r="L31" s="121"/>
      <c r="M31" s="114" t="s">
        <v>27</v>
      </c>
      <c r="N31" s="130"/>
    </row>
    <row r="32" customFormat="1" ht="31.8" customHeight="1" spans="1:14">
      <c r="A32" s="119"/>
      <c r="B32" s="122" t="s">
        <v>31</v>
      </c>
      <c r="C32" s="120"/>
      <c r="D32" s="120" t="s">
        <v>32</v>
      </c>
      <c r="E32" s="114" t="s">
        <v>8</v>
      </c>
      <c r="F32" s="114" t="s">
        <v>9</v>
      </c>
      <c r="G32" s="114" t="s">
        <v>10</v>
      </c>
      <c r="H32" s="114" t="s">
        <v>11</v>
      </c>
      <c r="I32" s="114" t="s">
        <v>12</v>
      </c>
      <c r="J32" s="114" t="s">
        <v>13</v>
      </c>
      <c r="K32" s="121" t="s">
        <v>14</v>
      </c>
      <c r="L32" s="122" t="s">
        <v>21</v>
      </c>
      <c r="M32" s="122" t="s">
        <v>22</v>
      </c>
      <c r="N32" s="130"/>
    </row>
    <row r="33" customFormat="1" ht="31.8" customHeight="1" spans="1:14">
      <c r="A33" s="123" t="s">
        <v>17</v>
      </c>
      <c r="B33" s="123">
        <f>'12月日记账'!B48</f>
        <v>225592.6</v>
      </c>
      <c r="C33" s="123">
        <f>B33</f>
        <v>225592.6</v>
      </c>
      <c r="D33" s="1">
        <f>136191.84+9444.67+22200</f>
        <v>167836.51</v>
      </c>
      <c r="E33" s="129">
        <f>(C33-D33)/1.05*0.05*0.12/2</f>
        <v>165.0174</v>
      </c>
      <c r="F33" s="123"/>
      <c r="G33" s="1"/>
      <c r="H33" s="123"/>
      <c r="I33" s="126">
        <v>145513.19</v>
      </c>
      <c r="J33" s="123"/>
      <c r="K33" s="127">
        <f>SUM(E33:J33)</f>
        <v>145678.2074</v>
      </c>
      <c r="L33" s="127">
        <f>(C33-D33)/1.05*0.05</f>
        <v>2750.29</v>
      </c>
      <c r="M33" s="127">
        <f>C33-K33-L33</f>
        <v>77164.1026</v>
      </c>
      <c r="N33" s="130"/>
    </row>
    <row r="34" customFormat="1" ht="31.8" customHeight="1" spans="1:14">
      <c r="A34" s="123" t="s">
        <v>18</v>
      </c>
      <c r="B34" s="123">
        <f>SUM(B33:B33)</f>
        <v>225592.6</v>
      </c>
      <c r="C34" s="123">
        <f>SUM(C33:C33)</f>
        <v>225592.6</v>
      </c>
      <c r="D34" s="123">
        <f>SUM(D33:D33)</f>
        <v>167836.51</v>
      </c>
      <c r="E34" s="123">
        <f>SUM(E33:E33)</f>
        <v>165.0174</v>
      </c>
      <c r="F34" s="123">
        <f>SUM(F33:F33)</f>
        <v>0</v>
      </c>
      <c r="G34" s="123">
        <f t="shared" ref="F34:N34" si="4">SUM(G33:G33)</f>
        <v>0</v>
      </c>
      <c r="H34" s="123">
        <f t="shared" si="4"/>
        <v>0</v>
      </c>
      <c r="I34" s="123">
        <f t="shared" si="4"/>
        <v>145513.19</v>
      </c>
      <c r="J34" s="123">
        <f t="shared" si="4"/>
        <v>0</v>
      </c>
      <c r="K34" s="123">
        <f t="shared" si="4"/>
        <v>145678.2074</v>
      </c>
      <c r="L34" s="123">
        <f t="shared" si="4"/>
        <v>2750.29</v>
      </c>
      <c r="M34" s="123">
        <f t="shared" si="4"/>
        <v>77164.1026</v>
      </c>
      <c r="N34" s="108">
        <f>M34</f>
        <v>77164.1026</v>
      </c>
    </row>
    <row r="35" customFormat="1" ht="31.8" customHeight="1" spans="1:14">
      <c r="A35" s="106"/>
      <c r="B35" s="106"/>
      <c r="C35" s="106"/>
      <c r="D35" s="106"/>
      <c r="E35" s="106"/>
      <c r="F35" s="106"/>
      <c r="G35" s="106"/>
      <c r="H35" s="106"/>
      <c r="I35" s="107"/>
      <c r="J35" s="106"/>
      <c r="K35" s="110"/>
      <c r="L35" s="110"/>
      <c r="M35" s="110"/>
      <c r="N35" s="130"/>
    </row>
    <row r="36" customFormat="1" ht="22" customHeight="1" spans="1:14">
      <c r="A36" s="112" t="s">
        <v>33</v>
      </c>
      <c r="B36" s="112"/>
      <c r="C36" s="112"/>
      <c r="D36" s="112"/>
      <c r="E36" s="112"/>
      <c r="F36" s="112"/>
      <c r="G36" s="112"/>
      <c r="H36" s="112"/>
      <c r="I36" s="112"/>
      <c r="J36" s="112"/>
      <c r="K36" s="112"/>
      <c r="L36" s="112"/>
      <c r="M36" s="112"/>
      <c r="N36" s="130"/>
    </row>
    <row r="37" customFormat="1" ht="22" customHeight="1" spans="1:14">
      <c r="A37" s="113" t="s">
        <v>1</v>
      </c>
      <c r="B37" s="114" t="s">
        <v>26</v>
      </c>
      <c r="C37" s="113" t="s">
        <v>3</v>
      </c>
      <c r="D37" s="114" t="s">
        <v>4</v>
      </c>
      <c r="E37" s="114"/>
      <c r="F37" s="114"/>
      <c r="G37" s="114"/>
      <c r="H37" s="114"/>
      <c r="I37" s="114"/>
      <c r="J37" s="114"/>
      <c r="K37" s="114"/>
      <c r="L37" s="114"/>
      <c r="M37" s="114" t="s">
        <v>27</v>
      </c>
      <c r="N37" s="130"/>
    </row>
    <row r="38" customFormat="1" ht="22" customHeight="1" spans="1:14">
      <c r="A38" s="119"/>
      <c r="B38" s="122" t="s">
        <v>34</v>
      </c>
      <c r="C38" s="120"/>
      <c r="D38" s="120" t="s">
        <v>7</v>
      </c>
      <c r="E38" s="114" t="s">
        <v>8</v>
      </c>
      <c r="F38" s="120" t="s">
        <v>9</v>
      </c>
      <c r="G38" s="120" t="s">
        <v>10</v>
      </c>
      <c r="H38" s="120" t="s">
        <v>11</v>
      </c>
      <c r="I38" s="120" t="s">
        <v>12</v>
      </c>
      <c r="J38" s="114" t="s">
        <v>13</v>
      </c>
      <c r="K38" s="134" t="s">
        <v>14</v>
      </c>
      <c r="L38" s="119" t="s">
        <v>21</v>
      </c>
      <c r="M38" s="122" t="s">
        <v>16</v>
      </c>
      <c r="N38" s="130"/>
    </row>
    <row r="39" customFormat="1" ht="22" customHeight="1" spans="1:14">
      <c r="A39" s="123" t="s">
        <v>17</v>
      </c>
      <c r="B39" s="141">
        <f>'12月日记账'!B49</f>
        <v>95785.43</v>
      </c>
      <c r="C39" s="141">
        <f>B39</f>
        <v>95785.43</v>
      </c>
      <c r="E39" s="135">
        <f>C39/1.06*0.06*0.12/2</f>
        <v>325.30900754717</v>
      </c>
      <c r="F39" s="123"/>
      <c r="G39" s="123"/>
      <c r="H39" s="123"/>
      <c r="I39" s="126"/>
      <c r="J39" s="123"/>
      <c r="K39" s="127">
        <f>SUM(E39:J39)</f>
        <v>325.30900754717</v>
      </c>
      <c r="L39" s="127">
        <f>K39/1.06*0.06</f>
        <v>18.4137174083304</v>
      </c>
      <c r="M39" s="127">
        <f>C39-K39-L39</f>
        <v>95441.7072750445</v>
      </c>
      <c r="N39" s="130"/>
    </row>
    <row r="40" customFormat="1" ht="22" customHeight="1" spans="1:14">
      <c r="A40" s="123" t="s">
        <v>18</v>
      </c>
      <c r="B40" s="123">
        <f t="shared" ref="B40:N40" si="5">SUM(B39:B39)</f>
        <v>95785.43</v>
      </c>
      <c r="C40" s="123">
        <f t="shared" si="5"/>
        <v>95785.43</v>
      </c>
      <c r="D40" s="123">
        <f t="shared" si="5"/>
        <v>0</v>
      </c>
      <c r="E40" s="123">
        <f t="shared" si="5"/>
        <v>325.30900754717</v>
      </c>
      <c r="F40" s="123">
        <f t="shared" si="5"/>
        <v>0</v>
      </c>
      <c r="G40" s="123">
        <f t="shared" si="5"/>
        <v>0</v>
      </c>
      <c r="H40" s="123">
        <f t="shared" si="5"/>
        <v>0</v>
      </c>
      <c r="I40" s="123">
        <f t="shared" si="5"/>
        <v>0</v>
      </c>
      <c r="J40" s="123">
        <f t="shared" si="5"/>
        <v>0</v>
      </c>
      <c r="K40" s="123">
        <f t="shared" si="5"/>
        <v>325.30900754717</v>
      </c>
      <c r="L40" s="123">
        <f t="shared" si="5"/>
        <v>18.4137174083304</v>
      </c>
      <c r="M40" s="123">
        <f t="shared" si="5"/>
        <v>95441.7072750445</v>
      </c>
      <c r="N40" s="130">
        <f>M40</f>
        <v>95441.7072750445</v>
      </c>
    </row>
    <row r="41" customFormat="1" ht="31.8" customHeight="1" spans="1:14">
      <c r="A41" s="106"/>
      <c r="B41" s="106"/>
      <c r="C41" s="106"/>
      <c r="D41" s="106"/>
      <c r="E41" s="106"/>
      <c r="F41" s="106"/>
      <c r="G41" s="106"/>
      <c r="H41" s="106"/>
      <c r="I41" s="107"/>
      <c r="J41" s="106"/>
      <c r="K41" s="110"/>
      <c r="L41" s="110"/>
      <c r="M41" s="110"/>
      <c r="N41" s="130"/>
    </row>
    <row r="42" customFormat="1" ht="22" customHeight="1" spans="1:14">
      <c r="A42" s="112" t="s">
        <v>35</v>
      </c>
      <c r="B42" s="112"/>
      <c r="C42" s="112"/>
      <c r="D42" s="112"/>
      <c r="E42" s="112"/>
      <c r="F42" s="112"/>
      <c r="G42" s="112"/>
      <c r="H42" s="112"/>
      <c r="I42" s="112"/>
      <c r="J42" s="112"/>
      <c r="K42" s="112"/>
      <c r="L42" s="112"/>
      <c r="M42" s="112"/>
      <c r="N42" s="130"/>
    </row>
    <row r="43" customFormat="1" ht="22" customHeight="1" spans="1:14">
      <c r="A43" s="113" t="s">
        <v>1</v>
      </c>
      <c r="B43" s="114" t="s">
        <v>26</v>
      </c>
      <c r="C43" s="113" t="s">
        <v>3</v>
      </c>
      <c r="D43" s="114" t="s">
        <v>4</v>
      </c>
      <c r="E43" s="114"/>
      <c r="F43" s="114"/>
      <c r="G43" s="114"/>
      <c r="H43" s="114"/>
      <c r="I43" s="114"/>
      <c r="J43" s="114"/>
      <c r="K43" s="114"/>
      <c r="L43" s="114"/>
      <c r="M43" s="114" t="s">
        <v>27</v>
      </c>
      <c r="N43" s="130"/>
    </row>
    <row r="44" customFormat="1" ht="22" customHeight="1" spans="1:14">
      <c r="A44" s="119"/>
      <c r="B44" s="122" t="s">
        <v>36</v>
      </c>
      <c r="C44" s="120"/>
      <c r="D44" s="120" t="s">
        <v>7</v>
      </c>
      <c r="E44" s="114" t="s">
        <v>8</v>
      </c>
      <c r="F44" s="120" t="s">
        <v>9</v>
      </c>
      <c r="G44" s="120" t="s">
        <v>10</v>
      </c>
      <c r="H44" s="120" t="s">
        <v>11</v>
      </c>
      <c r="I44" s="120" t="s">
        <v>12</v>
      </c>
      <c r="J44" s="114" t="s">
        <v>13</v>
      </c>
      <c r="K44" s="134" t="s">
        <v>14</v>
      </c>
      <c r="L44" s="119" t="s">
        <v>21</v>
      </c>
      <c r="M44" s="122" t="s">
        <v>16</v>
      </c>
      <c r="N44" s="130"/>
    </row>
    <row r="45" customFormat="1" ht="22" customHeight="1" spans="1:14">
      <c r="A45" s="123" t="s">
        <v>17</v>
      </c>
      <c r="B45" s="141">
        <f>'12月日记账'!B52</f>
        <v>519498.08</v>
      </c>
      <c r="C45" s="141">
        <f>B45</f>
        <v>519498.08</v>
      </c>
      <c r="E45" s="135">
        <f>C45/1.06*0.06*0.12/2</f>
        <v>1764.33310188679</v>
      </c>
      <c r="F45" s="123"/>
      <c r="G45" s="123"/>
      <c r="H45" s="123"/>
      <c r="I45" s="126"/>
      <c r="J45" s="123"/>
      <c r="K45" s="127">
        <f>SUM(E45:J45)</f>
        <v>1764.33310188679</v>
      </c>
      <c r="L45" s="127">
        <f>K45/1.06*0.06</f>
        <v>99.8679114275543</v>
      </c>
      <c r="M45" s="127">
        <f>C45-K45-L45</f>
        <v>517633.878986686</v>
      </c>
      <c r="N45" s="130"/>
    </row>
    <row r="46" customFormat="1" ht="22" customHeight="1" spans="1:14">
      <c r="A46" s="123" t="s">
        <v>18</v>
      </c>
      <c r="B46" s="123">
        <f t="shared" ref="B46:M46" si="6">SUM(B45:B45)</f>
        <v>519498.08</v>
      </c>
      <c r="C46" s="123">
        <f t="shared" si="6"/>
        <v>519498.08</v>
      </c>
      <c r="D46" s="123">
        <f t="shared" si="6"/>
        <v>0</v>
      </c>
      <c r="E46" s="123">
        <f t="shared" si="6"/>
        <v>1764.33310188679</v>
      </c>
      <c r="F46" s="123">
        <f t="shared" si="6"/>
        <v>0</v>
      </c>
      <c r="G46" s="123">
        <f t="shared" si="6"/>
        <v>0</v>
      </c>
      <c r="H46" s="123">
        <f t="shared" si="6"/>
        <v>0</v>
      </c>
      <c r="I46" s="123">
        <f t="shared" si="6"/>
        <v>0</v>
      </c>
      <c r="J46" s="123">
        <f t="shared" si="6"/>
        <v>0</v>
      </c>
      <c r="K46" s="123">
        <f t="shared" si="6"/>
        <v>1764.33310188679</v>
      </c>
      <c r="L46" s="123">
        <f t="shared" si="6"/>
        <v>99.8679114275543</v>
      </c>
      <c r="M46" s="123">
        <f t="shared" si="6"/>
        <v>517633.878986686</v>
      </c>
      <c r="N46" s="130">
        <f>M46</f>
        <v>517633.878986686</v>
      </c>
    </row>
    <row r="47" customFormat="1" ht="22" customHeight="1" spans="1:14">
      <c r="A47" s="106"/>
      <c r="B47" s="106"/>
      <c r="C47" s="106"/>
      <c r="D47" s="106"/>
      <c r="E47" s="106"/>
      <c r="F47" s="106"/>
      <c r="G47" s="106"/>
      <c r="H47" s="106"/>
      <c r="I47" s="106"/>
      <c r="J47" s="106"/>
      <c r="K47" s="106"/>
      <c r="L47" s="106"/>
      <c r="M47" s="106"/>
      <c r="N47" s="130"/>
    </row>
    <row r="48" customFormat="1" ht="22" customHeight="1" spans="1:14">
      <c r="A48" s="112" t="s">
        <v>37</v>
      </c>
      <c r="B48" s="112"/>
      <c r="C48" s="112"/>
      <c r="D48" s="112"/>
      <c r="E48" s="112"/>
      <c r="F48" s="112"/>
      <c r="G48" s="112"/>
      <c r="H48" s="112"/>
      <c r="I48" s="112"/>
      <c r="J48" s="112"/>
      <c r="K48" s="112"/>
      <c r="L48" s="112"/>
      <c r="M48" s="112"/>
      <c r="N48" s="130"/>
    </row>
    <row r="49" customFormat="1" ht="22" customHeight="1" spans="1:14">
      <c r="A49" s="113" t="s">
        <v>1</v>
      </c>
      <c r="B49" s="114" t="s">
        <v>26</v>
      </c>
      <c r="C49" s="113" t="s">
        <v>3</v>
      </c>
      <c r="D49" s="114" t="s">
        <v>4</v>
      </c>
      <c r="E49" s="114"/>
      <c r="F49" s="114"/>
      <c r="G49" s="114"/>
      <c r="H49" s="114"/>
      <c r="I49" s="114"/>
      <c r="J49" s="114"/>
      <c r="K49" s="114"/>
      <c r="L49" s="114"/>
      <c r="M49" s="114" t="s">
        <v>27</v>
      </c>
      <c r="N49" s="130"/>
    </row>
    <row r="50" customFormat="1" ht="22" customHeight="1" spans="1:14">
      <c r="A50" s="119"/>
      <c r="B50" s="122" t="s">
        <v>38</v>
      </c>
      <c r="C50" s="120"/>
      <c r="D50" s="120" t="s">
        <v>7</v>
      </c>
      <c r="E50" s="114" t="s">
        <v>8</v>
      </c>
      <c r="F50" s="120" t="s">
        <v>9</v>
      </c>
      <c r="G50" s="120" t="s">
        <v>10</v>
      </c>
      <c r="H50" s="120" t="s">
        <v>11</v>
      </c>
      <c r="I50" s="120" t="s">
        <v>12</v>
      </c>
      <c r="J50" s="114" t="s">
        <v>13</v>
      </c>
      <c r="K50" s="134" t="s">
        <v>14</v>
      </c>
      <c r="L50" s="119" t="s">
        <v>21</v>
      </c>
      <c r="M50" s="122" t="s">
        <v>16</v>
      </c>
      <c r="N50" s="130"/>
    </row>
    <row r="51" customFormat="1" ht="22" customHeight="1" spans="1:14">
      <c r="A51" s="123" t="s">
        <v>17</v>
      </c>
      <c r="B51" s="141">
        <f>'12月日记账'!B54</f>
        <v>393980.8</v>
      </c>
      <c r="C51" s="141">
        <f>B51</f>
        <v>393980.8</v>
      </c>
      <c r="E51" s="135">
        <f>C51/1.06*0.06*0.12/2</f>
        <v>1338.048</v>
      </c>
      <c r="F51" s="123"/>
      <c r="G51" s="123"/>
      <c r="H51" s="123"/>
      <c r="I51" s="126"/>
      <c r="J51" s="123"/>
      <c r="K51" s="127">
        <f>SUM(E51:J51)</f>
        <v>1338.048</v>
      </c>
      <c r="L51" s="127">
        <f>K51/1.06*0.06</f>
        <v>75.7385660377358</v>
      </c>
      <c r="M51" s="127">
        <f>C51-K51-L51</f>
        <v>392567.013433962</v>
      </c>
      <c r="N51" s="130"/>
    </row>
    <row r="52" customFormat="1" ht="22" customHeight="1" spans="1:14">
      <c r="A52" s="123" t="s">
        <v>18</v>
      </c>
      <c r="B52" s="123">
        <f t="shared" ref="B52:N52" si="7">SUM(B51:B51)</f>
        <v>393980.8</v>
      </c>
      <c r="C52" s="123">
        <f t="shared" si="7"/>
        <v>393980.8</v>
      </c>
      <c r="D52" s="123">
        <f t="shared" si="7"/>
        <v>0</v>
      </c>
      <c r="E52" s="123">
        <f t="shared" si="7"/>
        <v>1338.048</v>
      </c>
      <c r="F52" s="123">
        <f t="shared" si="7"/>
        <v>0</v>
      </c>
      <c r="G52" s="123">
        <f t="shared" si="7"/>
        <v>0</v>
      </c>
      <c r="H52" s="123">
        <f t="shared" si="7"/>
        <v>0</v>
      </c>
      <c r="I52" s="123">
        <f t="shared" si="7"/>
        <v>0</v>
      </c>
      <c r="J52" s="123">
        <f t="shared" si="7"/>
        <v>0</v>
      </c>
      <c r="K52" s="123">
        <f t="shared" si="7"/>
        <v>1338.048</v>
      </c>
      <c r="L52" s="123">
        <f t="shared" si="7"/>
        <v>75.7385660377358</v>
      </c>
      <c r="M52" s="123">
        <f t="shared" si="7"/>
        <v>392567.013433962</v>
      </c>
      <c r="N52" s="130">
        <f>M52</f>
        <v>392567.013433962</v>
      </c>
    </row>
    <row r="53" customFormat="1" ht="22" customHeight="1" spans="1:14">
      <c r="A53" s="106"/>
      <c r="B53" s="106"/>
      <c r="C53" s="106"/>
      <c r="D53" s="106"/>
      <c r="E53" s="106"/>
      <c r="F53" s="106"/>
      <c r="G53" s="106"/>
      <c r="H53" s="106"/>
      <c r="I53" s="106"/>
      <c r="J53" s="106"/>
      <c r="K53" s="106"/>
      <c r="L53" s="106"/>
      <c r="M53" s="106"/>
      <c r="N53" s="130"/>
    </row>
    <row r="54" customFormat="1" ht="22" customHeight="1" spans="1:14">
      <c r="A54" s="112" t="s">
        <v>39</v>
      </c>
      <c r="B54" s="112"/>
      <c r="C54" s="112"/>
      <c r="D54" s="112"/>
      <c r="E54" s="112"/>
      <c r="F54" s="112"/>
      <c r="G54" s="112"/>
      <c r="H54" s="112"/>
      <c r="I54" s="112"/>
      <c r="J54" s="112"/>
      <c r="K54" s="112"/>
      <c r="L54" s="112"/>
      <c r="M54" s="112"/>
      <c r="N54" s="130"/>
    </row>
    <row r="55" customFormat="1" ht="22" customHeight="1" spans="1:14">
      <c r="A55" s="113" t="s">
        <v>1</v>
      </c>
      <c r="B55" s="114" t="s">
        <v>26</v>
      </c>
      <c r="C55" s="113" t="s">
        <v>3</v>
      </c>
      <c r="D55" s="114" t="s">
        <v>4</v>
      </c>
      <c r="E55" s="114"/>
      <c r="F55" s="114"/>
      <c r="G55" s="114"/>
      <c r="H55" s="114"/>
      <c r="I55" s="114"/>
      <c r="J55" s="114"/>
      <c r="K55" s="114"/>
      <c r="L55" s="114"/>
      <c r="M55" s="114" t="s">
        <v>27</v>
      </c>
      <c r="N55" s="130"/>
    </row>
    <row r="56" customFormat="1" ht="22" customHeight="1" spans="1:14">
      <c r="A56" s="119"/>
      <c r="B56" s="122" t="s">
        <v>40</v>
      </c>
      <c r="C56" s="120"/>
      <c r="D56" s="120" t="s">
        <v>7</v>
      </c>
      <c r="E56" s="114" t="s">
        <v>8</v>
      </c>
      <c r="F56" s="120" t="s">
        <v>9</v>
      </c>
      <c r="G56" s="120" t="s">
        <v>10</v>
      </c>
      <c r="H56" s="120" t="s">
        <v>11</v>
      </c>
      <c r="I56" s="120" t="s">
        <v>12</v>
      </c>
      <c r="J56" s="114" t="s">
        <v>13</v>
      </c>
      <c r="K56" s="134" t="s">
        <v>14</v>
      </c>
      <c r="L56" s="119" t="s">
        <v>21</v>
      </c>
      <c r="M56" s="122" t="s">
        <v>16</v>
      </c>
      <c r="N56" s="130"/>
    </row>
    <row r="57" customFormat="1" ht="22" customHeight="1" spans="1:14">
      <c r="A57" s="123" t="s">
        <v>17</v>
      </c>
      <c r="B57" s="141">
        <f>'12月日记账'!B55</f>
        <v>145350</v>
      </c>
      <c r="C57" s="141">
        <f>B57</f>
        <v>145350</v>
      </c>
      <c r="E57" s="135">
        <f>C57/1.06*0.06*0.12/2</f>
        <v>493.641509433962</v>
      </c>
      <c r="F57" s="123"/>
      <c r="G57" s="123"/>
      <c r="H57" s="123"/>
      <c r="I57" s="126"/>
      <c r="J57" s="123"/>
      <c r="K57" s="127">
        <f>SUM(E57:J57)</f>
        <v>493.641509433962</v>
      </c>
      <c r="L57" s="127">
        <f>K57/1.06*0.06</f>
        <v>27.9419722321111</v>
      </c>
      <c r="M57" s="127">
        <f>C57-K57-L57</f>
        <v>144828.416518334</v>
      </c>
      <c r="N57" s="130"/>
    </row>
    <row r="58" customFormat="1" ht="22" customHeight="1" spans="1:14">
      <c r="A58" s="123" t="s">
        <v>18</v>
      </c>
      <c r="B58" s="123">
        <f t="shared" ref="B58:N58" si="8">SUM(B57:B57)</f>
        <v>145350</v>
      </c>
      <c r="C58" s="123">
        <f t="shared" si="8"/>
        <v>145350</v>
      </c>
      <c r="D58" s="123">
        <f t="shared" si="8"/>
        <v>0</v>
      </c>
      <c r="E58" s="123">
        <f t="shared" si="8"/>
        <v>493.641509433962</v>
      </c>
      <c r="F58" s="123">
        <f t="shared" si="8"/>
        <v>0</v>
      </c>
      <c r="G58" s="123">
        <f t="shared" si="8"/>
        <v>0</v>
      </c>
      <c r="H58" s="123">
        <f t="shared" si="8"/>
        <v>0</v>
      </c>
      <c r="I58" s="123">
        <f t="shared" si="8"/>
        <v>0</v>
      </c>
      <c r="J58" s="123">
        <f t="shared" si="8"/>
        <v>0</v>
      </c>
      <c r="K58" s="123">
        <f t="shared" si="8"/>
        <v>493.641509433962</v>
      </c>
      <c r="L58" s="123">
        <f t="shared" si="8"/>
        <v>27.9419722321111</v>
      </c>
      <c r="M58" s="123">
        <f t="shared" si="8"/>
        <v>144828.416518334</v>
      </c>
      <c r="N58" s="130">
        <f>M58</f>
        <v>144828.416518334</v>
      </c>
    </row>
    <row r="59" customFormat="1" ht="22" customHeight="1" spans="1:14">
      <c r="A59" s="106"/>
      <c r="B59" s="106"/>
      <c r="C59" s="106"/>
      <c r="D59" s="106"/>
      <c r="E59" s="106"/>
      <c r="F59" s="106"/>
      <c r="G59" s="106"/>
      <c r="H59" s="106"/>
      <c r="I59" s="106"/>
      <c r="J59" s="106"/>
      <c r="K59" s="106"/>
      <c r="L59" s="106"/>
      <c r="M59" s="106"/>
      <c r="N59" s="130"/>
    </row>
    <row r="60" customFormat="1" ht="22" customHeight="1" spans="1:14">
      <c r="A60" s="112" t="s">
        <v>41</v>
      </c>
      <c r="B60" s="112"/>
      <c r="C60" s="112"/>
      <c r="D60" s="112"/>
      <c r="E60" s="112"/>
      <c r="F60" s="112"/>
      <c r="G60" s="112"/>
      <c r="H60" s="112"/>
      <c r="I60" s="112"/>
      <c r="J60" s="112"/>
      <c r="K60" s="112"/>
      <c r="L60" s="112"/>
      <c r="M60" s="112"/>
      <c r="N60" s="130"/>
    </row>
    <row r="61" customFormat="1" ht="22" customHeight="1" spans="1:14">
      <c r="A61" s="113" t="s">
        <v>1</v>
      </c>
      <c r="B61" s="114" t="s">
        <v>26</v>
      </c>
      <c r="C61" s="113" t="s">
        <v>3</v>
      </c>
      <c r="D61" s="114" t="s">
        <v>4</v>
      </c>
      <c r="E61" s="114"/>
      <c r="F61" s="114"/>
      <c r="G61" s="114"/>
      <c r="H61" s="114"/>
      <c r="I61" s="114"/>
      <c r="J61" s="114"/>
      <c r="K61" s="114"/>
      <c r="L61" s="114"/>
      <c r="M61" s="114" t="s">
        <v>27</v>
      </c>
      <c r="N61" s="130"/>
    </row>
    <row r="62" customFormat="1" ht="22" customHeight="1" spans="1:14">
      <c r="A62" s="119"/>
      <c r="B62" s="122" t="s">
        <v>42</v>
      </c>
      <c r="C62" s="120"/>
      <c r="D62" s="120" t="s">
        <v>7</v>
      </c>
      <c r="E62" s="114" t="s">
        <v>8</v>
      </c>
      <c r="F62" s="120" t="s">
        <v>9</v>
      </c>
      <c r="G62" s="120" t="s">
        <v>10</v>
      </c>
      <c r="H62" s="120" t="s">
        <v>11</v>
      </c>
      <c r="I62" s="120" t="s">
        <v>12</v>
      </c>
      <c r="J62" s="114" t="s">
        <v>13</v>
      </c>
      <c r="K62" s="134" t="s">
        <v>14</v>
      </c>
      <c r="L62" s="119" t="s">
        <v>21</v>
      </c>
      <c r="M62" s="122" t="s">
        <v>16</v>
      </c>
      <c r="N62" s="130"/>
    </row>
    <row r="63" customFormat="1" ht="22" customHeight="1" spans="1:14">
      <c r="A63" s="123" t="s">
        <v>17</v>
      </c>
      <c r="B63" s="141">
        <f>'12月日记账'!B53</f>
        <v>664975.34</v>
      </c>
      <c r="C63" s="141">
        <f>B63</f>
        <v>664975.34</v>
      </c>
      <c r="E63" s="135">
        <f>C63/1.06*0.06*0.12/2</f>
        <v>2258.40681509434</v>
      </c>
      <c r="F63" s="123"/>
      <c r="G63" s="123"/>
      <c r="H63" s="123"/>
      <c r="I63" s="126"/>
      <c r="J63" s="123"/>
      <c r="K63" s="127">
        <f>SUM(E63:J63)</f>
        <v>2258.40681509434</v>
      </c>
      <c r="L63" s="127">
        <f>K63/1.06*0.06</f>
        <v>127.834348024208</v>
      </c>
      <c r="M63" s="127">
        <f>C63-K63-L63</f>
        <v>662589.098836881</v>
      </c>
      <c r="N63" s="130"/>
    </row>
    <row r="64" customFormat="1" ht="22" customHeight="1" spans="1:14">
      <c r="A64" s="123" t="s">
        <v>18</v>
      </c>
      <c r="B64" s="123">
        <f t="shared" ref="B64:N64" si="9">SUM(B63:B63)</f>
        <v>664975.34</v>
      </c>
      <c r="C64" s="123">
        <f t="shared" si="9"/>
        <v>664975.34</v>
      </c>
      <c r="D64" s="123">
        <f t="shared" si="9"/>
        <v>0</v>
      </c>
      <c r="E64" s="123">
        <f t="shared" si="9"/>
        <v>2258.40681509434</v>
      </c>
      <c r="F64" s="123">
        <f t="shared" si="9"/>
        <v>0</v>
      </c>
      <c r="G64" s="123">
        <f t="shared" si="9"/>
        <v>0</v>
      </c>
      <c r="H64" s="123">
        <f t="shared" si="9"/>
        <v>0</v>
      </c>
      <c r="I64" s="123">
        <f t="shared" si="9"/>
        <v>0</v>
      </c>
      <c r="J64" s="123">
        <f t="shared" si="9"/>
        <v>0</v>
      </c>
      <c r="K64" s="123">
        <f t="shared" si="9"/>
        <v>2258.40681509434</v>
      </c>
      <c r="L64" s="123">
        <f t="shared" si="9"/>
        <v>127.834348024208</v>
      </c>
      <c r="M64" s="123">
        <f t="shared" si="9"/>
        <v>662589.098836881</v>
      </c>
      <c r="N64" s="130">
        <f>M64</f>
        <v>662589.098836881</v>
      </c>
    </row>
    <row r="65" customFormat="1" ht="22" customHeight="1" spans="1:14">
      <c r="A65" s="106"/>
      <c r="B65" s="106"/>
      <c r="C65" s="106"/>
      <c r="D65" s="106"/>
      <c r="E65" s="106"/>
      <c r="F65" s="106"/>
      <c r="G65" s="106"/>
      <c r="H65" s="106"/>
      <c r="I65" s="106"/>
      <c r="J65" s="106"/>
      <c r="K65" s="106"/>
      <c r="L65" s="106"/>
      <c r="M65" s="106"/>
      <c r="N65" s="130"/>
    </row>
    <row r="66" ht="22" customHeight="1" spans="1:14">
      <c r="A66" s="112" t="s">
        <v>43</v>
      </c>
      <c r="B66" s="112"/>
      <c r="C66" s="112"/>
      <c r="D66" s="112"/>
      <c r="E66" s="112"/>
      <c r="F66" s="112"/>
      <c r="G66" s="112"/>
      <c r="H66" s="112"/>
      <c r="I66" s="112"/>
      <c r="J66" s="112"/>
      <c r="K66" s="112"/>
      <c r="L66" s="112"/>
      <c r="M66" s="112"/>
    </row>
    <row r="67" ht="28.5" spans="1:14">
      <c r="A67" s="113" t="s">
        <v>1</v>
      </c>
      <c r="B67" s="114" t="s">
        <v>26</v>
      </c>
      <c r="C67" s="113" t="s">
        <v>3</v>
      </c>
      <c r="D67" s="114" t="s">
        <v>4</v>
      </c>
      <c r="E67" s="114"/>
      <c r="F67" s="114"/>
      <c r="G67" s="114"/>
      <c r="H67" s="114"/>
      <c r="I67" s="114"/>
      <c r="J67" s="114"/>
      <c r="K67" s="114"/>
      <c r="L67" s="114"/>
      <c r="M67" s="114" t="s">
        <v>27</v>
      </c>
    </row>
    <row r="68" ht="42.75" spans="1:14">
      <c r="A68" s="119"/>
      <c r="B68" s="122" t="s">
        <v>44</v>
      </c>
      <c r="C68" s="120"/>
      <c r="D68" s="120" t="s">
        <v>7</v>
      </c>
      <c r="E68" s="114" t="s">
        <v>8</v>
      </c>
      <c r="F68" s="120" t="s">
        <v>9</v>
      </c>
      <c r="G68" s="120" t="s">
        <v>10</v>
      </c>
      <c r="H68" s="120" t="s">
        <v>11</v>
      </c>
      <c r="I68" s="120" t="s">
        <v>12</v>
      </c>
      <c r="J68" s="114" t="s">
        <v>13</v>
      </c>
      <c r="K68" s="134" t="s">
        <v>14</v>
      </c>
      <c r="L68" s="119" t="s">
        <v>21</v>
      </c>
      <c r="M68" s="122" t="s">
        <v>16</v>
      </c>
    </row>
    <row r="69" ht="21" customHeight="1" spans="1:14">
      <c r="A69" s="123" t="s">
        <v>17</v>
      </c>
      <c r="B69" s="141">
        <f>'12月日记账'!B51</f>
        <v>96210</v>
      </c>
      <c r="C69" s="141">
        <f>B69</f>
        <v>96210</v>
      </c>
      <c r="E69" s="133">
        <f>C69/1.06*0.06*0.12/2</f>
        <v>326.750943396226</v>
      </c>
      <c r="F69" s="123"/>
      <c r="G69" s="123"/>
      <c r="H69" s="123"/>
      <c r="I69" s="126"/>
      <c r="J69" s="123"/>
      <c r="K69" s="127">
        <f>SUM(E69:J69)</f>
        <v>326.750943396226</v>
      </c>
      <c r="L69" s="127">
        <f>K69/1.06*0.06</f>
        <v>18.4953364186543</v>
      </c>
      <c r="M69" s="127">
        <f>C69-K69-L69</f>
        <v>95864.7537201851</v>
      </c>
    </row>
    <row r="70" ht="21" customHeight="1" spans="1:14">
      <c r="A70" s="123" t="s">
        <v>18</v>
      </c>
      <c r="B70" s="123">
        <f>SUM(B69:B69)</f>
        <v>96210</v>
      </c>
      <c r="C70" s="123">
        <f>SUM(C69:C69)</f>
        <v>96210</v>
      </c>
      <c r="D70" s="123">
        <f>SUM(D69:D69)</f>
        <v>0</v>
      </c>
      <c r="E70" s="123">
        <f>SUM(E69:E69)</f>
        <v>326.750943396226</v>
      </c>
      <c r="F70" s="123">
        <f t="shared" ref="F70:N70" si="10">SUM(F69:F69)</f>
        <v>0</v>
      </c>
      <c r="G70" s="123">
        <f t="shared" si="10"/>
        <v>0</v>
      </c>
      <c r="H70" s="123">
        <f t="shared" si="10"/>
        <v>0</v>
      </c>
      <c r="I70" s="123">
        <f t="shared" si="10"/>
        <v>0</v>
      </c>
      <c r="J70" s="123">
        <f t="shared" si="10"/>
        <v>0</v>
      </c>
      <c r="K70" s="123">
        <f t="shared" si="10"/>
        <v>326.750943396226</v>
      </c>
      <c r="L70" s="123">
        <f t="shared" si="10"/>
        <v>18.4953364186543</v>
      </c>
      <c r="M70" s="123">
        <f t="shared" si="10"/>
        <v>95864.7537201851</v>
      </c>
      <c r="N70" s="108">
        <f>M70</f>
        <v>95864.7537201851</v>
      </c>
    </row>
    <row r="71" customFormat="1" ht="17" customHeight="1" spans="1:14">
      <c r="G71" s="1"/>
      <c r="N71" s="130"/>
    </row>
    <row r="72" s="105" customFormat="1" ht="40" customHeight="1" spans="1:14">
      <c r="A72" s="142" t="s">
        <v>45</v>
      </c>
      <c r="B72" s="142"/>
      <c r="C72" s="142">
        <f>C6+C12+C19+C28+C34+C40+C46+C52+C58+C64+C70</f>
        <v>5803459.82</v>
      </c>
      <c r="D72" s="142">
        <f>D6+D12+D19+D28+D34+D40+D46+D52+D58+D64+D70</f>
        <v>187636.51</v>
      </c>
      <c r="E72" s="142">
        <f>E6+E12+E19+E28+E34+E40+E46+E52+E58+E64+E70</f>
        <v>15744.6368474394</v>
      </c>
      <c r="F72" s="142">
        <f t="shared" ref="D72:N72" si="11">F6+F12+F19+F28+F34+F40+F46+F52+F58+F64+F70</f>
        <v>465.41</v>
      </c>
      <c r="G72" s="142">
        <f t="shared" si="11"/>
        <v>0</v>
      </c>
      <c r="H72" s="142">
        <f t="shared" si="11"/>
        <v>0</v>
      </c>
      <c r="I72" s="142">
        <f t="shared" si="11"/>
        <v>626728.12</v>
      </c>
      <c r="J72" s="142">
        <f t="shared" si="11"/>
        <v>0</v>
      </c>
      <c r="K72" s="142">
        <f t="shared" si="11"/>
        <v>642938.16684744</v>
      </c>
      <c r="L72" s="142">
        <f t="shared" si="11"/>
        <v>45108.8911951889</v>
      </c>
      <c r="M72" s="142">
        <f t="shared" si="11"/>
        <v>4128020.79195737</v>
      </c>
      <c r="N72" s="108"/>
    </row>
    <row r="73" ht="55" customHeight="1" spans="1:14">
      <c r="A73" s="143" t="s">
        <v>46</v>
      </c>
      <c r="B73" s="143"/>
      <c r="C73" s="143"/>
      <c r="D73" s="143"/>
      <c r="E73" s="143"/>
      <c r="F73" s="143"/>
      <c r="G73" s="144"/>
      <c r="H73" s="143"/>
      <c r="I73" s="143"/>
      <c r="K73" s="123" t="s">
        <v>47</v>
      </c>
      <c r="L73" s="123">
        <f>D6+C19+C52+C58+C64+C28+C34+C70+C46+C11+C40</f>
        <v>4816067.85</v>
      </c>
    </row>
    <row r="74" spans="1:14">
      <c r="A74" s="145" t="s">
        <v>48</v>
      </c>
      <c r="B74" s="145"/>
      <c r="C74" s="145"/>
      <c r="D74" s="145"/>
      <c r="E74" s="145"/>
      <c r="F74" s="145"/>
      <c r="G74" s="145"/>
      <c r="K74" s="123" t="s">
        <v>49</v>
      </c>
      <c r="L74" s="123">
        <f>K72+L72</f>
        <v>688047.058042629</v>
      </c>
    </row>
    <row r="75" spans="1:14">
      <c r="A75" s="145"/>
      <c r="B75" s="145"/>
      <c r="C75" s="145"/>
      <c r="D75" s="145"/>
      <c r="E75" s="145"/>
      <c r="F75" s="145"/>
      <c r="G75" s="145"/>
      <c r="K75" s="123"/>
      <c r="L75" s="123"/>
    </row>
    <row r="76" ht="28" customHeight="1" spans="1:14">
      <c r="A76" s="145" t="s">
        <v>50</v>
      </c>
      <c r="B76" s="145"/>
      <c r="C76" s="145"/>
      <c r="D76" s="145"/>
      <c r="E76" s="145"/>
      <c r="F76" s="145"/>
      <c r="G76" s="145"/>
      <c r="K76" s="123"/>
      <c r="L76" s="123"/>
    </row>
    <row r="77" ht="33" customHeight="1" spans="1:14">
      <c r="A77" s="145" t="s">
        <v>51</v>
      </c>
      <c r="B77" s="145"/>
      <c r="C77" s="145"/>
      <c r="D77" s="145"/>
      <c r="E77" s="145"/>
      <c r="F77" s="145"/>
      <c r="G77" s="145"/>
      <c r="K77" s="123" t="s">
        <v>52</v>
      </c>
      <c r="L77" s="123">
        <f>L73-L74</f>
        <v>4128020.79195737</v>
      </c>
    </row>
    <row r="80" hidden="1" spans="1:14">
      <c r="A80" s="146" t="s">
        <v>53</v>
      </c>
      <c r="B80" s="146"/>
      <c r="C80" s="146"/>
      <c r="D80" s="146"/>
      <c r="E80" s="146"/>
      <c r="F80" s="146"/>
      <c r="G80" s="146"/>
    </row>
    <row r="81" ht="33" hidden="1" customHeight="1" spans="1:13">
      <c r="A81" s="112" t="s">
        <v>54</v>
      </c>
      <c r="B81" s="112"/>
      <c r="C81" s="112"/>
      <c r="D81" s="112"/>
      <c r="E81" s="112"/>
      <c r="F81" s="112"/>
      <c r="G81" s="112"/>
      <c r="H81" s="112"/>
      <c r="I81" s="112"/>
      <c r="J81" s="112"/>
      <c r="K81" s="112"/>
      <c r="L81" s="112"/>
      <c r="M81" s="112"/>
    </row>
    <row r="82" ht="33" hidden="1" customHeight="1" spans="1:13">
      <c r="A82" s="113" t="s">
        <v>1</v>
      </c>
      <c r="B82" s="114" t="s">
        <v>2</v>
      </c>
      <c r="C82" s="113" t="s">
        <v>3</v>
      </c>
      <c r="D82" s="131" t="s">
        <v>4</v>
      </c>
      <c r="E82" s="132"/>
      <c r="F82" s="132"/>
      <c r="G82" s="132"/>
      <c r="H82" s="132"/>
      <c r="I82" s="132"/>
      <c r="J82" s="132"/>
      <c r="K82" s="132"/>
      <c r="L82" s="121"/>
      <c r="M82" s="114" t="s">
        <v>5</v>
      </c>
    </row>
    <row r="83" ht="33" hidden="1" customHeight="1" spans="1:13">
      <c r="A83" s="119"/>
      <c r="B83" s="122" t="s">
        <v>24</v>
      </c>
      <c r="C83" s="120"/>
      <c r="D83" s="131" t="s">
        <v>8</v>
      </c>
      <c r="E83" s="132"/>
      <c r="F83" s="114" t="s">
        <v>9</v>
      </c>
      <c r="G83" s="114" t="s">
        <v>10</v>
      </c>
      <c r="H83" s="114" t="s">
        <v>11</v>
      </c>
      <c r="I83" s="114" t="s">
        <v>12</v>
      </c>
      <c r="J83" s="114" t="s">
        <v>13</v>
      </c>
      <c r="K83" s="121" t="s">
        <v>14</v>
      </c>
      <c r="L83" s="118" t="s">
        <v>21</v>
      </c>
      <c r="M83" s="122" t="s">
        <v>16</v>
      </c>
    </row>
    <row r="84" ht="33" hidden="1" customHeight="1" spans="1:13">
      <c r="A84" s="123" t="s">
        <v>55</v>
      </c>
      <c r="B84" s="123">
        <v>0</v>
      </c>
      <c r="C84" s="123">
        <v>0</v>
      </c>
      <c r="D84" s="129">
        <f>C84/1.06*0.06*0.12/2</f>
        <v>0</v>
      </c>
      <c r="E84" s="147"/>
      <c r="F84" s="123"/>
      <c r="G84" s="123">
        <v>38160</v>
      </c>
      <c r="H84" s="123"/>
      <c r="I84" s="126"/>
      <c r="J84" s="123"/>
      <c r="K84" s="127">
        <f>SUM(D84:J84)</f>
        <v>38160</v>
      </c>
      <c r="L84" s="127">
        <f>K84/1.06*0.06</f>
        <v>2160</v>
      </c>
      <c r="M84" s="127" t="e">
        <f>C84-K84-L84-#REF!</f>
        <v>#REF!</v>
      </c>
    </row>
    <row r="85" ht="33" hidden="1" customHeight="1" spans="1:13">
      <c r="A85" s="123" t="s">
        <v>18</v>
      </c>
      <c r="B85" s="123">
        <f>SUM(B84:B84)</f>
        <v>0</v>
      </c>
      <c r="C85" s="123">
        <f>SUM(C84:C84)</f>
        <v>0</v>
      </c>
      <c r="D85" s="129">
        <f>SUM(D84:D84)</f>
        <v>0</v>
      </c>
      <c r="E85" s="147"/>
      <c r="F85" s="123">
        <f t="shared" ref="F85:N85" si="12">SUM(F84:F84)</f>
        <v>0</v>
      </c>
      <c r="G85" s="123">
        <f t="shared" si="12"/>
        <v>38160</v>
      </c>
      <c r="H85" s="123">
        <f t="shared" si="12"/>
        <v>0</v>
      </c>
      <c r="I85" s="123">
        <f t="shared" si="12"/>
        <v>0</v>
      </c>
      <c r="J85" s="123">
        <f t="shared" si="12"/>
        <v>0</v>
      </c>
      <c r="K85" s="123">
        <f t="shared" si="12"/>
        <v>38160</v>
      </c>
      <c r="L85" s="123">
        <f t="shared" si="12"/>
        <v>2160</v>
      </c>
      <c r="M85" s="123" t="e">
        <f t="shared" si="12"/>
        <v>#REF!</v>
      </c>
    </row>
    <row r="86" spans="1:13">
      <c r="A86" s="107"/>
      <c r="B86" s="107"/>
      <c r="C86" s="107"/>
      <c r="D86" s="107"/>
      <c r="E86" s="107"/>
      <c r="F86" s="107"/>
      <c r="G86" s="107"/>
      <c r="H86" s="107"/>
    </row>
    <row r="87" spans="1:13">
      <c r="A87" s="107"/>
      <c r="B87" s="107"/>
      <c r="C87" s="107"/>
      <c r="D87" s="107"/>
      <c r="E87" s="107"/>
      <c r="F87" s="107"/>
      <c r="G87" s="107"/>
      <c r="H87" s="107"/>
    </row>
    <row r="88" spans="1:13">
      <c r="A88" s="107"/>
      <c r="B88" s="107"/>
      <c r="C88" s="107"/>
      <c r="D88" s="107"/>
      <c r="E88" s="107"/>
      <c r="F88" s="107"/>
      <c r="G88" s="107"/>
      <c r="H88" s="107"/>
    </row>
    <row r="89" spans="1:13">
      <c r="A89" s="107"/>
      <c r="B89" s="107"/>
      <c r="C89" s="107"/>
      <c r="D89" s="107"/>
      <c r="E89" s="107"/>
      <c r="F89" s="107"/>
      <c r="G89" s="107"/>
      <c r="H89" s="107"/>
    </row>
    <row r="90" ht="25" customHeight="1" spans="1:13">
      <c r="A90" s="107"/>
      <c r="B90" s="107"/>
      <c r="C90" s="107"/>
      <c r="D90" s="107"/>
      <c r="E90" s="107"/>
      <c r="F90" s="107"/>
      <c r="G90" s="107"/>
      <c r="H90" s="107"/>
      <c r="K90" s="123" t="s">
        <v>56</v>
      </c>
      <c r="L90" s="123">
        <f>L77</f>
        <v>4128020.79195737</v>
      </c>
    </row>
    <row r="91" ht="25" customHeight="1" spans="1:13">
      <c r="A91" s="107"/>
      <c r="B91" s="107"/>
      <c r="C91" s="107"/>
      <c r="D91" s="107"/>
      <c r="E91" s="107"/>
      <c r="F91" s="107"/>
      <c r="G91" s="107"/>
      <c r="H91" s="107"/>
      <c r="K91" s="123" t="s">
        <v>57</v>
      </c>
      <c r="L91" s="123">
        <f>610000+1210000</f>
        <v>1820000</v>
      </c>
    </row>
    <row r="92" ht="25" customHeight="1" spans="1:13">
      <c r="K92" s="123" t="s">
        <v>58</v>
      </c>
      <c r="L92" s="123">
        <v>930000</v>
      </c>
    </row>
    <row r="93" ht="25" customHeight="1" spans="1:13">
      <c r="K93" s="123" t="s">
        <v>59</v>
      </c>
      <c r="L93" s="123">
        <f>L90-L91-L92</f>
        <v>1378020.79195737</v>
      </c>
    </row>
    <row r="94" ht="25" customHeight="1" spans="1:13">
      <c r="K94" s="123" t="s">
        <v>60</v>
      </c>
      <c r="L94" s="123">
        <f>N6+N12+N19</f>
        <v>398963.786557514</v>
      </c>
    </row>
    <row r="95" ht="25" customHeight="1" spans="1:13">
      <c r="K95" s="123" t="s">
        <v>61</v>
      </c>
      <c r="L95" s="123">
        <f>L93-L94</f>
        <v>979057.005399857</v>
      </c>
    </row>
    <row r="97" spans="9:10">
      <c r="I97" s="148"/>
      <c r="J97" s="149"/>
    </row>
    <row r="98" spans="9:10">
      <c r="I98" s="148"/>
      <c r="J98" s="149"/>
    </row>
    <row r="99" spans="9:10">
      <c r="I99" s="148"/>
      <c r="J99" s="149"/>
    </row>
    <row r="100" spans="9:10">
      <c r="I100" s="148"/>
      <c r="J100" s="149"/>
    </row>
    <row r="101" ht="32" customHeight="1" spans="9:10">
      <c r="I101" s="148"/>
      <c r="J101" s="149"/>
    </row>
    <row r="102" ht="35" customHeight="1"/>
  </sheetData>
  <mergeCells count="58">
    <mergeCell ref="A2:M2"/>
    <mergeCell ref="E3:K3"/>
    <mergeCell ref="A8:M8"/>
    <mergeCell ref="D9:L9"/>
    <mergeCell ref="A15:M15"/>
    <mergeCell ref="D16:L16"/>
    <mergeCell ref="A24:M24"/>
    <mergeCell ref="D25:L25"/>
    <mergeCell ref="A30:M30"/>
    <mergeCell ref="D31:L31"/>
    <mergeCell ref="A36:M36"/>
    <mergeCell ref="D37:L37"/>
    <mergeCell ref="A42:M42"/>
    <mergeCell ref="D43:L43"/>
    <mergeCell ref="A48:M48"/>
    <mergeCell ref="D49:L49"/>
    <mergeCell ref="A54:M54"/>
    <mergeCell ref="D55:L55"/>
    <mergeCell ref="A60:M60"/>
    <mergeCell ref="D61:L61"/>
    <mergeCell ref="A66:M66"/>
    <mergeCell ref="D67:L67"/>
    <mergeCell ref="A73:I73"/>
    <mergeCell ref="A76:G76"/>
    <mergeCell ref="A77:G77"/>
    <mergeCell ref="A80:G80"/>
    <mergeCell ref="A81:M81"/>
    <mergeCell ref="D82:L82"/>
    <mergeCell ref="D83:E83"/>
    <mergeCell ref="D84:E84"/>
    <mergeCell ref="D85:E85"/>
    <mergeCell ref="A3:A4"/>
    <mergeCell ref="A9:A10"/>
    <mergeCell ref="A16:A17"/>
    <mergeCell ref="A25:A26"/>
    <mergeCell ref="A31:A32"/>
    <mergeCell ref="A37:A38"/>
    <mergeCell ref="A43:A44"/>
    <mergeCell ref="A49:A50"/>
    <mergeCell ref="A55:A56"/>
    <mergeCell ref="A61:A62"/>
    <mergeCell ref="A67:A68"/>
    <mergeCell ref="A82:A83"/>
    <mergeCell ref="C3:C4"/>
    <mergeCell ref="C9:C10"/>
    <mergeCell ref="C16:C17"/>
    <mergeCell ref="C25:C26"/>
    <mergeCell ref="C31:C32"/>
    <mergeCell ref="C37:C38"/>
    <mergeCell ref="C43:C44"/>
    <mergeCell ref="C49:C50"/>
    <mergeCell ref="C55:C56"/>
    <mergeCell ref="C61:C62"/>
    <mergeCell ref="C67:C68"/>
    <mergeCell ref="C82:C83"/>
    <mergeCell ref="K74:K76"/>
    <mergeCell ref="L74:L76"/>
    <mergeCell ref="A74:G75"/>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25" workbookViewId="0">
      <selection activeCell="G49" sqref="G49"/>
    </sheetView>
  </sheetViews>
  <sheetFormatPr defaultColWidth="9" defaultRowHeight="13.5"/>
  <cols>
    <col min="1" max="1" width="13" style="1" customWidth="1"/>
    <col min="2" max="2" width="24.75" customWidth="1"/>
    <col min="3" max="3" width="24.75" style="72" customWidth="1"/>
    <col min="4" max="4" width="23.25" style="73" customWidth="1"/>
    <col min="6" max="6" width="10" customWidth="1"/>
    <col min="7" max="7" width="11.5"/>
    <col min="8" max="8" width="13.125" customWidth="1"/>
    <col min="12" max="12" width="10.375"/>
  </cols>
  <sheetData>
    <row r="1" ht="43" customHeight="1" spans="1:12">
      <c r="A1" s="74" t="s">
        <v>62</v>
      </c>
      <c r="B1" s="75"/>
      <c r="C1" s="76"/>
      <c r="D1" s="76"/>
      <c r="E1" s="75"/>
      <c r="F1" s="75"/>
      <c r="G1" s="77"/>
    </row>
    <row r="2" ht="43" customHeight="1" spans="1:12">
      <c r="A2" s="78" t="s">
        <v>63</v>
      </c>
      <c r="B2" s="79" t="s">
        <v>64</v>
      </c>
      <c r="C2" s="80" t="s">
        <v>65</v>
      </c>
      <c r="D2" s="81"/>
      <c r="E2" s="78" t="s">
        <v>66</v>
      </c>
      <c r="F2" s="82" t="s">
        <v>67</v>
      </c>
      <c r="G2" s="82" t="s">
        <v>68</v>
      </c>
    </row>
    <row r="3" ht="43" customHeight="1" spans="1:12">
      <c r="A3" s="78"/>
      <c r="B3" s="79"/>
      <c r="C3" s="83" t="s">
        <v>69</v>
      </c>
      <c r="D3" s="84" t="s">
        <v>70</v>
      </c>
      <c r="E3" s="78"/>
      <c r="F3" s="85"/>
      <c r="G3" s="85"/>
    </row>
    <row r="4" ht="24" customHeight="1" spans="1:12">
      <c r="A4" s="82">
        <v>1</v>
      </c>
      <c r="B4" s="19" t="s">
        <v>71</v>
      </c>
      <c r="C4" s="64">
        <v>113616.25</v>
      </c>
      <c r="D4" s="86">
        <v>46003</v>
      </c>
      <c r="E4" s="19"/>
      <c r="F4" s="87" t="s">
        <v>72</v>
      </c>
      <c r="G4" s="19">
        <v>2640</v>
      </c>
      <c r="H4" s="1">
        <f>G4+G6+G8+G9+G7+G5</f>
        <v>19800</v>
      </c>
    </row>
    <row r="5" ht="24" customHeight="1" spans="1:12">
      <c r="A5" s="88"/>
      <c r="B5" s="19"/>
      <c r="C5" s="89">
        <v>223700.73</v>
      </c>
      <c r="D5" s="90">
        <v>45995</v>
      </c>
      <c r="E5" s="19"/>
      <c r="F5" s="91"/>
      <c r="G5" s="19">
        <v>4224</v>
      </c>
      <c r="H5" s="1"/>
    </row>
    <row r="6" ht="24" customHeight="1" spans="1:12">
      <c r="A6" s="88"/>
      <c r="B6" s="19"/>
      <c r="C6" s="64">
        <v>38510.3</v>
      </c>
      <c r="D6" s="86">
        <v>46003</v>
      </c>
      <c r="E6" s="19"/>
      <c r="F6" s="91"/>
      <c r="G6" s="19">
        <v>616</v>
      </c>
      <c r="H6" s="1"/>
    </row>
    <row r="7" ht="24" customHeight="1" spans="1:12">
      <c r="A7" s="88"/>
      <c r="B7" s="19"/>
      <c r="C7" s="92">
        <v>327731.8</v>
      </c>
      <c r="D7" s="86">
        <v>46006</v>
      </c>
      <c r="E7" s="19"/>
      <c r="F7" s="91"/>
      <c r="G7" s="19">
        <v>5808</v>
      </c>
      <c r="H7" s="1"/>
    </row>
    <row r="8" ht="24" customHeight="1" spans="1:12">
      <c r="A8" s="88"/>
      <c r="B8" s="19"/>
      <c r="C8" s="93">
        <v>86444.6</v>
      </c>
      <c r="D8" s="86">
        <v>46007</v>
      </c>
      <c r="E8" s="19"/>
      <c r="F8" s="91"/>
      <c r="G8" s="19">
        <v>2288</v>
      </c>
      <c r="H8" s="1"/>
      <c r="L8" s="94"/>
    </row>
    <row r="9" ht="24" customHeight="1" spans="1:12">
      <c r="A9" s="85"/>
      <c r="B9" s="19"/>
      <c r="C9" s="95">
        <v>217188.29</v>
      </c>
      <c r="D9" s="90">
        <v>46015</v>
      </c>
      <c r="E9" s="19"/>
      <c r="F9" s="91"/>
      <c r="G9" s="19">
        <v>4224</v>
      </c>
      <c r="H9" s="1"/>
      <c r="L9" s="94"/>
    </row>
    <row r="10" ht="24" customHeight="1" spans="1:12">
      <c r="A10" s="19">
        <v>2</v>
      </c>
      <c r="B10" s="19" t="s">
        <v>73</v>
      </c>
      <c r="C10" s="96">
        <v>235273.8</v>
      </c>
      <c r="D10" s="90">
        <v>46008</v>
      </c>
      <c r="E10" s="19"/>
      <c r="F10" s="91"/>
      <c r="G10" s="82">
        <f>C10</f>
        <v>235273.8</v>
      </c>
      <c r="H10" s="1"/>
      <c r="L10" s="94"/>
    </row>
    <row r="11" ht="24" customHeight="1" spans="1:12">
      <c r="A11" s="82">
        <v>3</v>
      </c>
      <c r="B11" s="82" t="s">
        <v>74</v>
      </c>
      <c r="C11" s="97">
        <v>11273.48</v>
      </c>
      <c r="D11" s="86">
        <v>46003</v>
      </c>
      <c r="E11" s="19"/>
      <c r="F11" s="91"/>
      <c r="G11" s="82">
        <f>C11+C12+C13</f>
        <v>160072.01</v>
      </c>
      <c r="H11" s="1"/>
    </row>
    <row r="12" ht="24" customHeight="1" spans="1:12">
      <c r="A12" s="88"/>
      <c r="B12" s="88"/>
      <c r="C12" s="97">
        <v>23906.46</v>
      </c>
      <c r="D12" s="86">
        <v>46006</v>
      </c>
      <c r="F12" s="91"/>
      <c r="G12" s="88"/>
      <c r="H12" s="1"/>
    </row>
    <row r="13" ht="24" customHeight="1" spans="1:12">
      <c r="A13" s="85"/>
      <c r="B13" s="88"/>
      <c r="C13" s="98">
        <v>124892.07</v>
      </c>
      <c r="D13" s="86">
        <v>46006</v>
      </c>
      <c r="F13" s="91"/>
      <c r="G13" s="88"/>
      <c r="H13" s="1"/>
    </row>
    <row r="14" ht="24" customHeight="1" spans="1:12">
      <c r="A14" s="82">
        <v>4</v>
      </c>
      <c r="B14" s="82" t="s">
        <v>75</v>
      </c>
      <c r="C14" s="97">
        <v>275500</v>
      </c>
      <c r="D14" s="90">
        <v>45995</v>
      </c>
      <c r="E14" s="19"/>
      <c r="F14" s="20" t="s">
        <v>76</v>
      </c>
      <c r="G14" s="19">
        <f>SUM(C14:C21)</f>
        <v>2259529.79</v>
      </c>
    </row>
    <row r="15" ht="24" customHeight="1" spans="1:12">
      <c r="A15" s="88"/>
      <c r="B15" s="88"/>
      <c r="C15" s="97">
        <v>557491.83</v>
      </c>
      <c r="D15" s="90">
        <v>46000</v>
      </c>
      <c r="E15" s="19"/>
      <c r="F15" s="20"/>
      <c r="G15" s="19"/>
    </row>
    <row r="16" ht="24" customHeight="1" spans="1:12">
      <c r="A16" s="88"/>
      <c r="B16" s="88"/>
      <c r="C16" s="97">
        <v>557491.83</v>
      </c>
      <c r="D16" s="90">
        <v>45995</v>
      </c>
      <c r="E16" s="19"/>
      <c r="F16" s="20"/>
      <c r="G16" s="19"/>
    </row>
    <row r="17" ht="24" customHeight="1" spans="1:7">
      <c r="A17" s="88"/>
      <c r="B17" s="88"/>
      <c r="C17" s="93">
        <v>62866.3</v>
      </c>
      <c r="D17" s="90">
        <v>45995</v>
      </c>
      <c r="E17" s="19"/>
      <c r="F17" s="20"/>
      <c r="G17" s="19"/>
    </row>
    <row r="18" ht="24" customHeight="1" spans="1:7">
      <c r="A18" s="88"/>
      <c r="B18" s="88"/>
      <c r="C18" s="93">
        <v>494625.53</v>
      </c>
      <c r="D18" s="90">
        <v>45995</v>
      </c>
      <c r="E18" s="19"/>
      <c r="F18" s="20"/>
      <c r="G18" s="19"/>
    </row>
    <row r="19" ht="24" customHeight="1" spans="1:7">
      <c r="A19" s="88"/>
      <c r="B19" s="88"/>
      <c r="C19" s="93">
        <v>18027.15</v>
      </c>
      <c r="D19" s="90">
        <v>45999</v>
      </c>
      <c r="E19" s="19"/>
      <c r="F19" s="20"/>
      <c r="G19" s="19"/>
    </row>
    <row r="20" ht="24" customHeight="1" spans="1:7">
      <c r="A20" s="88"/>
      <c r="B20" s="88"/>
      <c r="C20" s="93">
        <v>18027.15</v>
      </c>
      <c r="D20" s="90">
        <v>45999</v>
      </c>
      <c r="E20" s="19"/>
      <c r="F20" s="20"/>
      <c r="G20" s="19"/>
    </row>
    <row r="21" ht="24" customHeight="1" spans="1:7">
      <c r="A21" s="85"/>
      <c r="B21" s="88"/>
      <c r="C21" s="97">
        <v>275500</v>
      </c>
      <c r="D21" s="90">
        <v>45995</v>
      </c>
      <c r="E21" s="19"/>
      <c r="F21" s="20"/>
      <c r="G21" s="19"/>
    </row>
    <row r="22" ht="24" customHeight="1" spans="1:7">
      <c r="A22" s="82">
        <v>5</v>
      </c>
      <c r="B22" s="82" t="s">
        <v>77</v>
      </c>
      <c r="C22" s="99">
        <v>412542.16</v>
      </c>
      <c r="D22" s="100">
        <v>45994</v>
      </c>
      <c r="E22" s="19"/>
      <c r="F22" s="20"/>
      <c r="G22" s="19">
        <f>C22+C23</f>
        <v>519498.08</v>
      </c>
    </row>
    <row r="23" ht="24" customHeight="1" spans="1:7">
      <c r="A23" s="85"/>
      <c r="B23" s="85"/>
      <c r="C23" s="99">
        <v>106955.92</v>
      </c>
      <c r="D23" s="86">
        <v>46003</v>
      </c>
      <c r="F23" s="20"/>
      <c r="G23" s="19"/>
    </row>
    <row r="24" ht="24" customHeight="1" spans="1:7">
      <c r="A24" s="1">
        <v>6</v>
      </c>
      <c r="B24" s="19" t="s">
        <v>78</v>
      </c>
      <c r="C24" s="93">
        <v>393980.8</v>
      </c>
      <c r="D24" s="90">
        <v>45994.5319444444</v>
      </c>
      <c r="E24" s="19"/>
      <c r="F24" s="20"/>
      <c r="G24" s="19">
        <f>C24</f>
        <v>393980.8</v>
      </c>
    </row>
    <row r="25" ht="24" customHeight="1" spans="1:7">
      <c r="A25" s="19">
        <v>7</v>
      </c>
      <c r="B25" s="101" t="s">
        <v>79</v>
      </c>
      <c r="C25" s="97">
        <v>145350</v>
      </c>
      <c r="D25" s="102">
        <v>45996</v>
      </c>
      <c r="F25" s="20"/>
      <c r="G25" s="19">
        <f>C25</f>
        <v>145350</v>
      </c>
    </row>
    <row r="26" ht="24" customHeight="1" spans="1:7">
      <c r="A26" s="19">
        <v>8</v>
      </c>
      <c r="B26" s="19" t="s">
        <v>80</v>
      </c>
      <c r="C26" s="93">
        <v>664975.34</v>
      </c>
      <c r="D26" s="90">
        <v>45992</v>
      </c>
      <c r="E26" s="19"/>
      <c r="F26" s="20"/>
      <c r="G26" s="19">
        <f>C26</f>
        <v>664975.34</v>
      </c>
    </row>
    <row r="27" ht="24" customHeight="1" spans="1:7">
      <c r="A27" s="82">
        <v>9</v>
      </c>
      <c r="B27" s="82" t="s">
        <v>81</v>
      </c>
      <c r="C27" s="97">
        <v>70004.33</v>
      </c>
      <c r="D27" s="102">
        <v>46013</v>
      </c>
      <c r="F27" s="20"/>
      <c r="G27" s="82">
        <f>C27+C28</f>
        <v>95785.43</v>
      </c>
    </row>
    <row r="28" ht="24" customHeight="1" spans="1:7">
      <c r="A28" s="85"/>
      <c r="B28" s="88"/>
      <c r="C28" s="97">
        <v>25781.1</v>
      </c>
      <c r="D28" s="102">
        <v>46013</v>
      </c>
      <c r="F28" s="20"/>
      <c r="G28" s="88"/>
    </row>
    <row r="29" ht="24" customHeight="1" spans="1:7">
      <c r="A29" s="82">
        <v>10</v>
      </c>
      <c r="B29" s="82" t="s">
        <v>82</v>
      </c>
      <c r="C29" s="101">
        <v>15048</v>
      </c>
      <c r="D29" s="90">
        <v>45995</v>
      </c>
      <c r="E29" s="19"/>
      <c r="F29" s="20"/>
      <c r="G29" s="82">
        <f>SUM(C29:C32)</f>
        <v>225592.6</v>
      </c>
    </row>
    <row r="30" ht="24" customHeight="1" spans="1:7">
      <c r="A30" s="88"/>
      <c r="B30" s="88"/>
      <c r="C30" s="101">
        <v>15048</v>
      </c>
      <c r="D30" s="90">
        <v>45999</v>
      </c>
      <c r="E30" s="19"/>
      <c r="F30" s="20"/>
      <c r="G30" s="88"/>
    </row>
    <row r="31" ht="24" customHeight="1" spans="1:7">
      <c r="A31" s="88"/>
      <c r="B31" s="88"/>
      <c r="C31" s="89">
        <v>24600</v>
      </c>
      <c r="D31" s="103">
        <v>46007</v>
      </c>
      <c r="E31" s="19"/>
      <c r="F31" s="20"/>
      <c r="G31" s="88"/>
    </row>
    <row r="32" ht="24" customHeight="1" spans="1:7">
      <c r="A32" s="85"/>
      <c r="B32" s="85"/>
      <c r="C32" s="104">
        <v>170896.6</v>
      </c>
      <c r="D32" s="103">
        <v>46007</v>
      </c>
      <c r="E32" s="19"/>
      <c r="F32" s="20"/>
      <c r="G32" s="85"/>
    </row>
    <row r="33" ht="24" customHeight="1" spans="1:7">
      <c r="A33" s="82">
        <v>11</v>
      </c>
      <c r="B33" s="88" t="s">
        <v>83</v>
      </c>
      <c r="C33" s="97">
        <v>68710</v>
      </c>
      <c r="D33" s="90">
        <v>46003</v>
      </c>
      <c r="E33" s="19"/>
      <c r="F33" s="20"/>
      <c r="G33" s="88">
        <f>C33+C34</f>
        <v>96210</v>
      </c>
    </row>
    <row r="34" ht="24" customHeight="1" spans="1:7">
      <c r="A34" s="85"/>
      <c r="B34" s="85"/>
      <c r="C34" s="97">
        <v>27500</v>
      </c>
      <c r="D34" s="86">
        <v>46006</v>
      </c>
      <c r="E34" s="19"/>
      <c r="F34" s="20"/>
      <c r="G34" s="85"/>
    </row>
    <row r="35" ht="24" customHeight="1" spans="1:7">
      <c r="C35" s="72">
        <f>SUM(C4:C34)</f>
        <v>5803459.82</v>
      </c>
      <c r="F35" s="1"/>
      <c r="G35">
        <f>SUM(G4:G33)</f>
        <v>4816067.85</v>
      </c>
    </row>
    <row r="39" spans="1:7">
      <c r="C39" s="72">
        <f>C35-[1]新疆项目回款统计!$D$33</f>
        <v>0</v>
      </c>
    </row>
  </sheetData>
  <mergeCells count="30">
    <mergeCell ref="A1:G1"/>
    <mergeCell ref="C2:D2"/>
    <mergeCell ref="A2:A3"/>
    <mergeCell ref="A4:A9"/>
    <mergeCell ref="A11:A13"/>
    <mergeCell ref="A14:A21"/>
    <mergeCell ref="A22:A23"/>
    <mergeCell ref="A27:A28"/>
    <mergeCell ref="A29:A32"/>
    <mergeCell ref="A33:A34"/>
    <mergeCell ref="B2:B3"/>
    <mergeCell ref="B4:B9"/>
    <mergeCell ref="B11:B13"/>
    <mergeCell ref="B14:B21"/>
    <mergeCell ref="B22:B23"/>
    <mergeCell ref="B27:B28"/>
    <mergeCell ref="B29:B32"/>
    <mergeCell ref="B33:B34"/>
    <mergeCell ref="E2:E3"/>
    <mergeCell ref="F2:F3"/>
    <mergeCell ref="F4:F13"/>
    <mergeCell ref="F14:F34"/>
    <mergeCell ref="G2:G3"/>
    <mergeCell ref="G11:G13"/>
    <mergeCell ref="G14:G21"/>
    <mergeCell ref="G22:G23"/>
    <mergeCell ref="G27:G28"/>
    <mergeCell ref="G29:G32"/>
    <mergeCell ref="G33:G34"/>
    <mergeCell ref="H4:H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workbookViewId="0">
      <pane ySplit="1" topLeftCell="A17" activePane="bottomLeft" state="frozen"/>
      <selection/>
      <selection pane="bottomLeft" activeCell="E46" sqref="E46"/>
    </sheetView>
  </sheetViews>
  <sheetFormatPr defaultColWidth="9" defaultRowHeight="13.5" outlineLevelCol="5"/>
  <cols>
    <col min="1" max="1" width="25.125" style="45" customWidth="1"/>
    <col min="2" max="2" width="46.25" style="46" customWidth="1"/>
    <col min="3" max="3" width="37.75" style="47" customWidth="1"/>
    <col min="4" max="4" width="61.625" style="47" customWidth="1"/>
    <col min="5" max="5" width="16.125" style="45" customWidth="1"/>
    <col min="6" max="6" width="12.375" style="45" customWidth="1"/>
    <col min="7" max="16384" width="9" style="48"/>
  </cols>
  <sheetData>
    <row r="1" spans="1:6">
      <c r="A1" s="49" t="s">
        <v>84</v>
      </c>
      <c r="B1" s="49" t="s">
        <v>85</v>
      </c>
      <c r="C1" s="49" t="s">
        <v>86</v>
      </c>
      <c r="D1" s="49" t="s">
        <v>87</v>
      </c>
      <c r="E1" s="50" t="s">
        <v>88</v>
      </c>
      <c r="F1" s="50" t="s">
        <v>89</v>
      </c>
    </row>
    <row r="2" spans="1:6">
      <c r="A2" s="51" t="s">
        <v>90</v>
      </c>
      <c r="B2" s="52" t="s">
        <v>91</v>
      </c>
      <c r="C2" s="52" t="s">
        <v>92</v>
      </c>
      <c r="D2" s="52" t="s">
        <v>93</v>
      </c>
      <c r="E2" s="53">
        <v>223700.73</v>
      </c>
      <c r="F2" s="53">
        <v>0</v>
      </c>
    </row>
    <row r="3" spans="1:6">
      <c r="A3" s="51" t="s">
        <v>94</v>
      </c>
      <c r="B3" s="52" t="s">
        <v>95</v>
      </c>
      <c r="C3" s="52" t="s">
        <v>92</v>
      </c>
      <c r="D3" s="52" t="s">
        <v>93</v>
      </c>
      <c r="E3" s="53">
        <v>113616.25</v>
      </c>
      <c r="F3" s="53">
        <v>0</v>
      </c>
    </row>
    <row r="4" spans="1:6">
      <c r="A4" s="51" t="s">
        <v>94</v>
      </c>
      <c r="B4" s="52" t="s">
        <v>95</v>
      </c>
      <c r="C4" s="52" t="s">
        <v>92</v>
      </c>
      <c r="D4" s="52" t="s">
        <v>93</v>
      </c>
      <c r="E4" s="53">
        <v>38510.3</v>
      </c>
      <c r="F4" s="53">
        <v>0</v>
      </c>
    </row>
    <row r="5" spans="1:6">
      <c r="A5" s="51" t="s">
        <v>94</v>
      </c>
      <c r="B5" s="52" t="s">
        <v>96</v>
      </c>
      <c r="C5" s="52" t="s">
        <v>92</v>
      </c>
      <c r="D5" s="52" t="s">
        <v>97</v>
      </c>
      <c r="E5" s="53">
        <v>11273.48</v>
      </c>
      <c r="F5" s="53">
        <v>0</v>
      </c>
    </row>
    <row r="6" spans="1:6">
      <c r="A6" s="51" t="s">
        <v>98</v>
      </c>
      <c r="B6" s="52" t="s">
        <v>99</v>
      </c>
      <c r="C6" s="52" t="s">
        <v>92</v>
      </c>
      <c r="D6" s="52" t="s">
        <v>93</v>
      </c>
      <c r="E6" s="53">
        <v>327731.8</v>
      </c>
      <c r="F6" s="53">
        <v>0</v>
      </c>
    </row>
    <row r="7" spans="1:6">
      <c r="A7" s="51" t="s">
        <v>98</v>
      </c>
      <c r="B7" s="52" t="s">
        <v>96</v>
      </c>
      <c r="C7" s="52" t="s">
        <v>92</v>
      </c>
      <c r="D7" s="52" t="s">
        <v>97</v>
      </c>
      <c r="E7" s="53">
        <v>23906.46</v>
      </c>
      <c r="F7" s="53">
        <v>0</v>
      </c>
    </row>
    <row r="8" spans="1:6">
      <c r="A8" s="51" t="s">
        <v>98</v>
      </c>
      <c r="B8" s="52" t="s">
        <v>96</v>
      </c>
      <c r="C8" s="52" t="s">
        <v>92</v>
      </c>
      <c r="D8" s="52" t="s">
        <v>97</v>
      </c>
      <c r="E8" s="53">
        <v>124892.07</v>
      </c>
      <c r="F8" s="53">
        <v>0</v>
      </c>
    </row>
    <row r="9" spans="1:6">
      <c r="A9" s="51" t="s">
        <v>100</v>
      </c>
      <c r="B9" s="52" t="s">
        <v>101</v>
      </c>
      <c r="C9" s="52" t="s">
        <v>92</v>
      </c>
      <c r="D9" s="52" t="s">
        <v>93</v>
      </c>
      <c r="E9" s="53">
        <v>86444.6</v>
      </c>
      <c r="F9" s="53">
        <v>0</v>
      </c>
    </row>
    <row r="10" spans="1:6">
      <c r="A10" s="51" t="s">
        <v>102</v>
      </c>
      <c r="B10" s="52" t="s">
        <v>103</v>
      </c>
      <c r="C10" s="52" t="s">
        <v>92</v>
      </c>
      <c r="D10" s="52" t="s">
        <v>104</v>
      </c>
      <c r="E10" s="53">
        <v>235273.8</v>
      </c>
      <c r="F10" s="53">
        <v>0</v>
      </c>
    </row>
    <row r="11" spans="1:6">
      <c r="A11" s="51" t="s">
        <v>105</v>
      </c>
      <c r="B11" s="52" t="s">
        <v>106</v>
      </c>
      <c r="C11" s="52" t="s">
        <v>92</v>
      </c>
      <c r="D11" s="52" t="s">
        <v>93</v>
      </c>
      <c r="E11" s="53">
        <v>217188.29</v>
      </c>
      <c r="F11" s="53">
        <v>0</v>
      </c>
    </row>
    <row r="12" spans="1:6">
      <c r="A12" s="54" t="s">
        <v>107</v>
      </c>
      <c r="B12" s="55" t="s">
        <v>108</v>
      </c>
      <c r="C12" s="55" t="s">
        <v>92</v>
      </c>
      <c r="D12" s="56" t="s">
        <v>109</v>
      </c>
      <c r="E12" s="57">
        <v>0</v>
      </c>
      <c r="F12" s="57">
        <v>465.41</v>
      </c>
    </row>
    <row r="13" spans="1:6">
      <c r="A13" s="51" t="s">
        <v>110</v>
      </c>
      <c r="B13" s="51" t="s">
        <v>111</v>
      </c>
      <c r="C13" s="51" t="s">
        <v>112</v>
      </c>
      <c r="D13" s="51" t="s">
        <v>113</v>
      </c>
      <c r="E13" s="58">
        <v>664975.34</v>
      </c>
      <c r="F13" s="58">
        <v>0</v>
      </c>
    </row>
    <row r="14" spans="1:6">
      <c r="A14" s="51" t="s">
        <v>114</v>
      </c>
      <c r="B14" s="51" t="s">
        <v>115</v>
      </c>
      <c r="C14" s="51" t="s">
        <v>112</v>
      </c>
      <c r="D14" s="51" t="s">
        <v>116</v>
      </c>
      <c r="E14" s="58">
        <v>412542.16</v>
      </c>
      <c r="F14" s="58">
        <v>0</v>
      </c>
    </row>
    <row r="15" spans="1:6">
      <c r="A15" s="51" t="s">
        <v>114</v>
      </c>
      <c r="B15" s="51" t="s">
        <v>117</v>
      </c>
      <c r="C15" s="51" t="s">
        <v>112</v>
      </c>
      <c r="D15" s="51" t="s">
        <v>118</v>
      </c>
      <c r="E15" s="58">
        <v>393980.8</v>
      </c>
      <c r="F15" s="58">
        <v>0</v>
      </c>
    </row>
    <row r="16" spans="1:6">
      <c r="A16" s="51" t="s">
        <v>90</v>
      </c>
      <c r="B16" s="51" t="s">
        <v>119</v>
      </c>
      <c r="C16" s="51" t="s">
        <v>112</v>
      </c>
      <c r="D16" s="51" t="s">
        <v>120</v>
      </c>
      <c r="E16" s="58">
        <v>62866.3</v>
      </c>
      <c r="F16" s="58">
        <v>0</v>
      </c>
    </row>
    <row r="17" spans="1:6">
      <c r="A17" s="51" t="s">
        <v>90</v>
      </c>
      <c r="B17" s="51" t="s">
        <v>119</v>
      </c>
      <c r="C17" s="51" t="s">
        <v>112</v>
      </c>
      <c r="D17" s="51" t="s">
        <v>120</v>
      </c>
      <c r="E17" s="58">
        <v>1603117.36</v>
      </c>
      <c r="F17" s="58">
        <v>0</v>
      </c>
    </row>
    <row r="18" spans="1:6">
      <c r="A18" s="51" t="s">
        <v>90</v>
      </c>
      <c r="B18" s="51" t="s">
        <v>121</v>
      </c>
      <c r="C18" s="51" t="s">
        <v>112</v>
      </c>
      <c r="D18" s="51" t="s">
        <v>122</v>
      </c>
      <c r="E18" s="58">
        <v>15048</v>
      </c>
      <c r="F18" s="58">
        <v>0</v>
      </c>
    </row>
    <row r="19" spans="1:6">
      <c r="A19" s="51" t="s">
        <v>90</v>
      </c>
      <c r="B19" s="51" t="s">
        <v>123</v>
      </c>
      <c r="C19" s="51" t="s">
        <v>112</v>
      </c>
      <c r="D19" s="51" t="s">
        <v>124</v>
      </c>
      <c r="E19" s="58">
        <v>145350</v>
      </c>
      <c r="F19" s="58">
        <v>0</v>
      </c>
    </row>
    <row r="20" spans="1:6">
      <c r="A20" s="51" t="s">
        <v>125</v>
      </c>
      <c r="B20" s="51" t="s">
        <v>126</v>
      </c>
      <c r="C20" s="51" t="s">
        <v>112</v>
      </c>
      <c r="D20" s="51" t="s">
        <v>120</v>
      </c>
      <c r="E20" s="58">
        <v>18027.15</v>
      </c>
      <c r="F20" s="58">
        <v>0</v>
      </c>
    </row>
    <row r="21" spans="1:6">
      <c r="A21" s="51" t="s">
        <v>125</v>
      </c>
      <c r="B21" s="51" t="s">
        <v>126</v>
      </c>
      <c r="C21" s="51" t="s">
        <v>112</v>
      </c>
      <c r="D21" s="51" t="s">
        <v>120</v>
      </c>
      <c r="E21" s="58">
        <v>18027.15</v>
      </c>
      <c r="F21" s="58">
        <v>0</v>
      </c>
    </row>
    <row r="22" spans="1:6">
      <c r="A22" s="51" t="s">
        <v>125</v>
      </c>
      <c r="B22" s="51" t="s">
        <v>127</v>
      </c>
      <c r="C22" s="51" t="s">
        <v>112</v>
      </c>
      <c r="D22" s="51" t="s">
        <v>122</v>
      </c>
      <c r="E22" s="58">
        <v>15048</v>
      </c>
      <c r="F22" s="58">
        <v>0</v>
      </c>
    </row>
    <row r="23" spans="1:6">
      <c r="A23" s="51" t="s">
        <v>128</v>
      </c>
      <c r="B23" s="51" t="s">
        <v>126</v>
      </c>
      <c r="C23" s="51" t="s">
        <v>112</v>
      </c>
      <c r="D23" s="51" t="s">
        <v>120</v>
      </c>
      <c r="E23" s="58">
        <v>557491.83</v>
      </c>
      <c r="F23" s="58">
        <v>0</v>
      </c>
    </row>
    <row r="24" spans="1:6">
      <c r="A24" s="51" t="s">
        <v>94</v>
      </c>
      <c r="B24" s="51" t="s">
        <v>129</v>
      </c>
      <c r="C24" s="51" t="s">
        <v>112</v>
      </c>
      <c r="D24" s="51" t="s">
        <v>130</v>
      </c>
      <c r="E24" s="58">
        <v>68710</v>
      </c>
      <c r="F24" s="58">
        <v>0</v>
      </c>
    </row>
    <row r="25" spans="1:6">
      <c r="A25" s="51" t="s">
        <v>94</v>
      </c>
      <c r="B25" s="51" t="s">
        <v>131</v>
      </c>
      <c r="C25" s="51" t="s">
        <v>112</v>
      </c>
      <c r="D25" s="51" t="s">
        <v>116</v>
      </c>
      <c r="E25" s="58">
        <v>106955.92</v>
      </c>
      <c r="F25" s="58">
        <v>0</v>
      </c>
    </row>
    <row r="26" spans="1:6">
      <c r="A26" s="51" t="s">
        <v>98</v>
      </c>
      <c r="B26" s="51" t="s">
        <v>132</v>
      </c>
      <c r="C26" s="51" t="s">
        <v>112</v>
      </c>
      <c r="D26" s="51" t="s">
        <v>133</v>
      </c>
      <c r="E26" s="58">
        <v>27500</v>
      </c>
      <c r="F26" s="58">
        <v>0</v>
      </c>
    </row>
    <row r="27" spans="1:6">
      <c r="A27" s="51" t="s">
        <v>100</v>
      </c>
      <c r="B27" s="51" t="s">
        <v>134</v>
      </c>
      <c r="C27" s="51" t="s">
        <v>112</v>
      </c>
      <c r="D27" s="51" t="s">
        <v>122</v>
      </c>
      <c r="E27" s="58">
        <v>24600</v>
      </c>
      <c r="F27" s="58">
        <v>0</v>
      </c>
    </row>
    <row r="28" spans="1:6">
      <c r="A28" s="51" t="s">
        <v>100</v>
      </c>
      <c r="B28" s="51" t="s">
        <v>135</v>
      </c>
      <c r="C28" s="51" t="s">
        <v>112</v>
      </c>
      <c r="D28" s="51" t="s">
        <v>122</v>
      </c>
      <c r="E28" s="58">
        <v>170896.6</v>
      </c>
      <c r="F28" s="58">
        <v>0</v>
      </c>
    </row>
    <row r="29" spans="1:6">
      <c r="A29" s="51" t="s">
        <v>136</v>
      </c>
      <c r="B29" s="51" t="s">
        <v>137</v>
      </c>
      <c r="C29" s="51" t="s">
        <v>112</v>
      </c>
      <c r="D29" s="51" t="s">
        <v>138</v>
      </c>
      <c r="E29" s="58">
        <v>70004.33</v>
      </c>
      <c r="F29" s="58">
        <v>0</v>
      </c>
    </row>
    <row r="30" spans="1:6">
      <c r="A30" s="51" t="s">
        <v>136</v>
      </c>
      <c r="B30" s="51" t="s">
        <v>139</v>
      </c>
      <c r="C30" s="51" t="s">
        <v>112</v>
      </c>
      <c r="D30" s="51" t="s">
        <v>138</v>
      </c>
      <c r="E30" s="58">
        <v>25781.1</v>
      </c>
      <c r="F30" s="58">
        <v>0</v>
      </c>
    </row>
    <row r="31" spans="1:6">
      <c r="A31" s="59" t="s">
        <v>98</v>
      </c>
      <c r="B31" s="59" t="s">
        <v>140</v>
      </c>
      <c r="C31" s="59" t="s">
        <v>141</v>
      </c>
      <c r="D31" s="59" t="s">
        <v>142</v>
      </c>
      <c r="E31" s="60">
        <v>0</v>
      </c>
      <c r="F31" s="60">
        <v>447996.64</v>
      </c>
    </row>
    <row r="32" spans="1:6">
      <c r="A32" s="59" t="s">
        <v>98</v>
      </c>
      <c r="B32" s="59" t="s">
        <v>143</v>
      </c>
      <c r="C32" s="59" t="s">
        <v>141</v>
      </c>
      <c r="D32" s="59" t="s">
        <v>144</v>
      </c>
      <c r="E32" s="60">
        <v>0</v>
      </c>
      <c r="F32" s="60">
        <v>145513.19</v>
      </c>
    </row>
    <row r="33" spans="1:6">
      <c r="A33" s="59" t="s">
        <v>98</v>
      </c>
      <c r="B33" s="59" t="s">
        <v>145</v>
      </c>
      <c r="C33" s="59" t="s">
        <v>141</v>
      </c>
      <c r="D33" s="59" t="s">
        <v>146</v>
      </c>
      <c r="E33" s="60">
        <v>0</v>
      </c>
      <c r="F33" s="60">
        <v>28838.29</v>
      </c>
    </row>
    <row r="34" spans="1:6">
      <c r="A34" s="59" t="s">
        <v>98</v>
      </c>
      <c r="B34" s="59" t="s">
        <v>147</v>
      </c>
      <c r="C34" s="59" t="s">
        <v>141</v>
      </c>
      <c r="D34" s="59" t="s">
        <v>142</v>
      </c>
      <c r="E34" s="60">
        <v>0</v>
      </c>
      <c r="F34" s="60">
        <v>2000</v>
      </c>
    </row>
    <row r="35" spans="1:6">
      <c r="A35" s="59" t="s">
        <v>100</v>
      </c>
      <c r="B35" s="59" t="s">
        <v>148</v>
      </c>
      <c r="C35" s="59" t="s">
        <v>141</v>
      </c>
      <c r="D35" s="59" t="s">
        <v>149</v>
      </c>
      <c r="E35" s="60">
        <v>0</v>
      </c>
      <c r="F35" s="60">
        <v>380</v>
      </c>
    </row>
    <row r="36" spans="1:6">
      <c r="A36" s="59" t="s">
        <v>136</v>
      </c>
      <c r="B36" s="59" t="s">
        <v>150</v>
      </c>
      <c r="C36" s="59" t="s">
        <v>141</v>
      </c>
      <c r="D36" s="59" t="s">
        <v>142</v>
      </c>
      <c r="E36" s="60">
        <v>0</v>
      </c>
      <c r="F36" s="60">
        <v>2000</v>
      </c>
    </row>
    <row r="37" spans="1:6">
      <c r="A37" s="61"/>
      <c r="B37" s="61"/>
      <c r="C37" s="61"/>
      <c r="D37" s="61"/>
      <c r="E37" s="62">
        <f>SUM(E2:E36)</f>
        <v>5803459.82</v>
      </c>
      <c r="F37" s="62">
        <f>SUM(F2:F36)</f>
        <v>627193.53</v>
      </c>
    </row>
    <row r="38" spans="1:6">
      <c r="A38" s="61"/>
      <c r="B38" s="61"/>
      <c r="C38" s="61"/>
      <c r="D38" s="61"/>
      <c r="E38" s="62"/>
      <c r="F38" s="62"/>
    </row>
    <row r="39" spans="1:6">
      <c r="A39" s="61"/>
      <c r="B39" s="61"/>
      <c r="C39" s="61"/>
      <c r="D39" s="61"/>
      <c r="E39" s="62"/>
      <c r="F39" s="62"/>
    </row>
    <row r="40" spans="1:6">
      <c r="A40" s="61"/>
      <c r="B40" s="61"/>
      <c r="C40" s="61"/>
      <c r="D40" s="61"/>
      <c r="E40" s="62"/>
      <c r="F40" s="62"/>
    </row>
    <row r="41" spans="1:6">
      <c r="A41" s="61"/>
      <c r="B41" s="61"/>
      <c r="C41" s="61"/>
      <c r="D41" s="61"/>
      <c r="E41" s="62"/>
      <c r="F41" s="62"/>
    </row>
    <row r="42" spans="1:6">
      <c r="A42" s="61"/>
      <c r="B42" s="61"/>
      <c r="C42" s="61"/>
      <c r="D42" s="61"/>
      <c r="E42" s="62"/>
      <c r="F42" s="62"/>
    </row>
    <row r="43" ht="10" customHeight="1" spans="1:6">
      <c r="A43" s="61"/>
      <c r="B43" s="61"/>
      <c r="C43" s="61"/>
      <c r="D43" s="61"/>
      <c r="E43" s="62"/>
      <c r="F43" s="62"/>
    </row>
    <row r="44" ht="17" customHeight="1" spans="1:6">
      <c r="A44" s="63" t="s">
        <v>151</v>
      </c>
      <c r="B44" s="64" t="s">
        <v>152</v>
      </c>
      <c r="D44" s="65" t="s">
        <v>153</v>
      </c>
      <c r="E44" s="66" t="s">
        <v>152</v>
      </c>
      <c r="F44" s="66"/>
    </row>
    <row r="45" ht="17" customHeight="1" spans="1:6">
      <c r="A45" s="63" t="s">
        <v>154</v>
      </c>
      <c r="B45" s="64">
        <f>E2+E3+E4+E6+E9+E11</f>
        <v>1007191.97</v>
      </c>
      <c r="D45" s="65" t="s">
        <v>155</v>
      </c>
      <c r="E45" s="66">
        <f>F12+F13+F14+F15+F17+F19+F20+F21+F22</f>
        <v>465.41</v>
      </c>
      <c r="F45" s="67" t="s">
        <v>156</v>
      </c>
    </row>
    <row r="46" ht="17" customHeight="1" spans="1:6">
      <c r="A46" s="63" t="s">
        <v>155</v>
      </c>
      <c r="B46" s="64">
        <f>E5+E7+E8</f>
        <v>160072.01</v>
      </c>
      <c r="D46" s="65" t="s">
        <v>157</v>
      </c>
      <c r="E46" s="66">
        <f>F32</f>
        <v>145513.19</v>
      </c>
      <c r="F46" s="67" t="s">
        <v>158</v>
      </c>
    </row>
    <row r="47" ht="17" customHeight="1" spans="1:6">
      <c r="A47" s="63" t="s">
        <v>75</v>
      </c>
      <c r="B47" s="64">
        <f>E16+E17+E20+E21+E23</f>
        <v>2259529.79</v>
      </c>
      <c r="D47" s="65" t="s">
        <v>75</v>
      </c>
      <c r="E47" s="66">
        <f>F31+F33+F34+F35+F36</f>
        <v>481214.93</v>
      </c>
      <c r="F47" s="67" t="s">
        <v>159</v>
      </c>
    </row>
    <row r="48" ht="17" customHeight="1" spans="1:6">
      <c r="A48" s="63" t="s">
        <v>160</v>
      </c>
      <c r="B48" s="64">
        <f>E18+E22+E28+E27</f>
        <v>225592.6</v>
      </c>
      <c r="D48" s="65"/>
      <c r="E48" s="66">
        <f>SUM(E45:E47)</f>
        <v>627193.53</v>
      </c>
      <c r="F48" s="67"/>
    </row>
    <row r="49" ht="17" customHeight="1" spans="1:6">
      <c r="A49" s="63" t="s">
        <v>161</v>
      </c>
      <c r="B49" s="64">
        <f>E30+E29</f>
        <v>95785.43</v>
      </c>
      <c r="D49" s="68"/>
      <c r="E49" s="69"/>
      <c r="F49" s="70"/>
    </row>
    <row r="50" ht="17" customHeight="1" spans="1:6">
      <c r="A50" s="63" t="s">
        <v>162</v>
      </c>
      <c r="B50" s="64">
        <f>E10</f>
        <v>235273.8</v>
      </c>
      <c r="D50" s="68"/>
      <c r="E50" s="71"/>
      <c r="F50" s="69"/>
    </row>
    <row r="51" ht="17" customHeight="1" spans="1:6">
      <c r="A51" s="63" t="s">
        <v>83</v>
      </c>
      <c r="B51" s="64">
        <f>E24+E26</f>
        <v>96210</v>
      </c>
      <c r="D51" s="68"/>
      <c r="E51" s="71"/>
      <c r="F51" s="71"/>
    </row>
    <row r="52" ht="17" customHeight="1" spans="1:6">
      <c r="A52" s="63" t="s">
        <v>163</v>
      </c>
      <c r="B52" s="64">
        <f>E14+E25</f>
        <v>519498.08</v>
      </c>
    </row>
    <row r="53" ht="17" customHeight="1" spans="1:6">
      <c r="A53" s="63" t="s">
        <v>80</v>
      </c>
      <c r="B53" s="64">
        <f>E13</f>
        <v>664975.34</v>
      </c>
    </row>
    <row r="54" spans="1:6">
      <c r="A54" s="63" t="s">
        <v>78</v>
      </c>
      <c r="B54" s="64">
        <f>E15</f>
        <v>393980.8</v>
      </c>
    </row>
    <row r="55" spans="1:6">
      <c r="A55" s="63" t="s">
        <v>79</v>
      </c>
      <c r="B55" s="64">
        <f>E19</f>
        <v>145350</v>
      </c>
    </row>
    <row r="56" spans="1:6">
      <c r="B56" s="46">
        <f>SUM(B45:B55)</f>
        <v>5803459.82</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F20" sqref="F20"/>
    </sheetView>
  </sheetViews>
  <sheetFormatPr defaultColWidth="9" defaultRowHeight="25" customHeight="1"/>
  <cols>
    <col min="1" max="1" width="9" style="1"/>
    <col min="2" max="2" width="16.1333333333333" style="1" customWidth="1"/>
    <col min="3" max="3" width="13.6333333333333" style="2" customWidth="1"/>
    <col min="4" max="4" width="13.125" style="3" customWidth="1"/>
    <col min="5" max="5" width="12.75" style="4" customWidth="1"/>
    <col min="6" max="6" width="12.75" style="3" customWidth="1"/>
    <col min="7" max="7" width="14.5" style="3" customWidth="1"/>
    <col min="8" max="8" width="24.5" style="5" customWidth="1"/>
    <col min="9" max="9" width="9.125" style="6" customWidth="1"/>
    <col min="10" max="10" width="74.875" style="7" customWidth="1"/>
    <col min="11" max="11" width="14.25" style="5" customWidth="1"/>
    <col min="12" max="12" width="31.8833333333333" style="8" customWidth="1"/>
    <col min="13" max="13" width="21.75" style="9" customWidth="1"/>
    <col min="14" max="14" width="10.75" customWidth="1"/>
  </cols>
  <sheetData>
    <row r="1" customHeight="1" spans="1:13">
      <c r="A1" s="10" t="s">
        <v>63</v>
      </c>
      <c r="B1" s="10" t="s">
        <v>164</v>
      </c>
      <c r="C1" s="11" t="s">
        <v>165</v>
      </c>
      <c r="D1" s="12" t="s">
        <v>166</v>
      </c>
      <c r="E1" s="13" t="s">
        <v>167</v>
      </c>
      <c r="F1" s="14" t="s">
        <v>168</v>
      </c>
      <c r="G1" s="14" t="s">
        <v>169</v>
      </c>
      <c r="H1" s="14" t="s">
        <v>170</v>
      </c>
      <c r="I1" s="15" t="s">
        <v>171</v>
      </c>
      <c r="J1" s="16" t="s">
        <v>172</v>
      </c>
      <c r="L1" s="17"/>
      <c r="M1" s="18"/>
    </row>
    <row r="2" ht="21" customHeight="1" spans="1:13">
      <c r="A2" s="19">
        <v>1</v>
      </c>
      <c r="B2" s="20" t="s">
        <v>173</v>
      </c>
      <c r="C2" s="21" t="s">
        <v>174</v>
      </c>
      <c r="D2" s="22">
        <v>1787.1</v>
      </c>
      <c r="E2" s="23">
        <v>9025.42</v>
      </c>
      <c r="F2" s="22">
        <v>20</v>
      </c>
      <c r="G2" s="22">
        <f>D2+E2+F2</f>
        <v>10832.52</v>
      </c>
      <c r="H2" s="24" t="s">
        <v>17</v>
      </c>
      <c r="I2" s="25">
        <v>30</v>
      </c>
      <c r="J2" s="26" t="s">
        <v>175</v>
      </c>
      <c r="K2" s="27"/>
    </row>
    <row r="3" ht="21" customHeight="1" spans="1:13">
      <c r="A3" s="19">
        <v>2</v>
      </c>
      <c r="B3" s="20"/>
      <c r="C3" s="28" t="s">
        <v>176</v>
      </c>
      <c r="D3" s="22">
        <v>1787.1</v>
      </c>
      <c r="E3" s="23">
        <v>10566.43</v>
      </c>
      <c r="F3" s="22">
        <v>20</v>
      </c>
      <c r="G3" s="22">
        <f t="shared" ref="G3:G9" si="0">D3+E3+F3</f>
        <v>12373.53</v>
      </c>
      <c r="H3" s="24" t="s">
        <v>17</v>
      </c>
      <c r="I3" s="25">
        <v>30</v>
      </c>
      <c r="J3" s="26" t="s">
        <v>177</v>
      </c>
      <c r="K3" s="27"/>
    </row>
    <row r="4" ht="21" customHeight="1" spans="1:13">
      <c r="A4" s="19">
        <v>3</v>
      </c>
      <c r="B4" s="20"/>
      <c r="C4" s="29" t="s">
        <v>178</v>
      </c>
      <c r="D4" s="22"/>
      <c r="E4" s="23">
        <f>(5217-950)/30*19+950</f>
        <v>3652.43333333333</v>
      </c>
      <c r="F4" s="22">
        <v>20</v>
      </c>
      <c r="G4" s="22">
        <f t="shared" si="0"/>
        <v>3672.43333333333</v>
      </c>
      <c r="H4" s="24" t="s">
        <v>17</v>
      </c>
      <c r="I4" s="25">
        <v>30</v>
      </c>
      <c r="J4" s="26" t="s">
        <v>179</v>
      </c>
      <c r="K4" s="27"/>
    </row>
    <row r="5" ht="21" customHeight="1" spans="1:13">
      <c r="A5" s="19">
        <v>4</v>
      </c>
      <c r="B5" s="20"/>
      <c r="C5" s="29" t="s">
        <v>180</v>
      </c>
      <c r="D5" s="22"/>
      <c r="E5" s="23">
        <v>5916</v>
      </c>
      <c r="F5" s="22">
        <v>20</v>
      </c>
      <c r="G5" s="22">
        <f t="shared" si="0"/>
        <v>5936</v>
      </c>
      <c r="H5" s="24" t="s">
        <v>17</v>
      </c>
      <c r="I5" s="25">
        <v>30</v>
      </c>
      <c r="J5" s="26" t="s">
        <v>181</v>
      </c>
      <c r="K5" s="27"/>
    </row>
    <row r="6" ht="21" customHeight="1" spans="1:13">
      <c r="A6" s="19">
        <v>5</v>
      </c>
      <c r="B6" s="20"/>
      <c r="C6" s="29" t="s">
        <v>182</v>
      </c>
      <c r="D6" s="22">
        <v>1787.1</v>
      </c>
      <c r="E6" s="23">
        <v>6593.07</v>
      </c>
      <c r="F6" s="22">
        <v>20</v>
      </c>
      <c r="G6" s="22">
        <f t="shared" si="0"/>
        <v>8400.17</v>
      </c>
      <c r="H6" s="24" t="s">
        <v>17</v>
      </c>
      <c r="I6" s="25">
        <v>30</v>
      </c>
      <c r="J6" s="26" t="s">
        <v>183</v>
      </c>
      <c r="K6" s="27"/>
    </row>
    <row r="7" ht="21" customHeight="1" spans="1:13">
      <c r="A7" s="19">
        <v>6</v>
      </c>
      <c r="B7" s="20"/>
      <c r="C7" s="30" t="s">
        <v>184</v>
      </c>
      <c r="D7" s="22">
        <v>1579.1</v>
      </c>
      <c r="E7" s="23">
        <v>5610.23</v>
      </c>
      <c r="F7" s="22">
        <v>20</v>
      </c>
      <c r="G7" s="22">
        <f t="shared" si="0"/>
        <v>7209.33</v>
      </c>
      <c r="H7" s="24" t="s">
        <v>17</v>
      </c>
      <c r="I7" s="25">
        <v>30</v>
      </c>
      <c r="J7" s="26" t="s">
        <v>181</v>
      </c>
      <c r="K7" s="27"/>
    </row>
    <row r="8" ht="28" customHeight="1" spans="1:13">
      <c r="A8" s="19">
        <v>7</v>
      </c>
      <c r="B8" s="20"/>
      <c r="C8" s="31" t="s">
        <v>185</v>
      </c>
      <c r="D8" s="22">
        <v>1579.1</v>
      </c>
      <c r="E8" s="23">
        <v>5017.23</v>
      </c>
      <c r="F8" s="22">
        <v>20</v>
      </c>
      <c r="G8" s="22">
        <f t="shared" si="0"/>
        <v>6616.33</v>
      </c>
      <c r="H8" s="24" t="s">
        <v>17</v>
      </c>
      <c r="I8" s="25">
        <v>30</v>
      </c>
      <c r="J8" s="26" t="s">
        <v>175</v>
      </c>
      <c r="K8" s="27"/>
    </row>
    <row r="9" ht="21" customHeight="1" spans="1:13">
      <c r="A9" s="19">
        <v>8</v>
      </c>
      <c r="B9" s="20"/>
      <c r="C9" s="32" t="s">
        <v>186</v>
      </c>
      <c r="D9" s="33">
        <f>1787.1/30*I9</f>
        <v>714.84</v>
      </c>
      <c r="E9" s="34">
        <f>(15743.1-1200)/30*12+1200</f>
        <v>7017.24</v>
      </c>
      <c r="F9" s="22">
        <v>20</v>
      </c>
      <c r="G9" s="22">
        <f t="shared" si="0"/>
        <v>7752.08</v>
      </c>
      <c r="H9" s="24" t="s">
        <v>17</v>
      </c>
      <c r="I9" s="25">
        <v>12</v>
      </c>
      <c r="J9" s="35" t="s">
        <v>187</v>
      </c>
      <c r="K9" s="27"/>
    </row>
    <row r="10" ht="30" customHeight="1" spans="1:13">
      <c r="A10" s="19"/>
      <c r="B10" s="20"/>
      <c r="C10" s="36"/>
      <c r="D10" s="22">
        <f>SUM(D2:D9)</f>
        <v>9234.34</v>
      </c>
      <c r="E10" s="22">
        <f>SUM(E2:E9)</f>
        <v>53398.0533333333</v>
      </c>
      <c r="F10" s="22">
        <f>SUM(F2:F9)</f>
        <v>160</v>
      </c>
      <c r="G10" s="22">
        <f>SUM(G2:G9)</f>
        <v>62792.3933333333</v>
      </c>
      <c r="H10" s="24"/>
      <c r="I10" s="37"/>
      <c r="J10" s="38"/>
    </row>
    <row r="12" customHeight="1" spans="1:13">
      <c r="G12" s="39"/>
    </row>
    <row r="13" customHeight="1" spans="1:13">
      <c r="A13" s="40"/>
      <c r="B13" s="41"/>
      <c r="E13" s="42" t="s">
        <v>188</v>
      </c>
      <c r="G13" s="40"/>
      <c r="J13" s="43"/>
    </row>
    <row r="14" customHeight="1" spans="1:13">
      <c r="J14" s="44"/>
    </row>
  </sheetData>
  <mergeCells count="1">
    <mergeCell ref="B2:B9"/>
  </mergeCells>
  <conditionalFormatting sqref="C2">
    <cfRule type="duplicateValues" dxfId="0" priority="6"/>
  </conditionalFormatting>
  <conditionalFormatting sqref="C3">
    <cfRule type="duplicateValues" dxfId="0" priority="3"/>
  </conditionalFormatting>
  <conditionalFormatting sqref="C7">
    <cfRule type="duplicateValues" dxfId="0" priority="2"/>
  </conditionalFormatting>
  <conditionalFormatting sqref="C4:C6">
    <cfRule type="duplicateValues" dxfId="0" priority="7"/>
  </conditionalFormatting>
  <conditionalFormatting sqref="C2 C4:C6">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2025.12结算</vt:lpstr>
      <vt:lpstr>12月回款</vt:lpstr>
      <vt:lpstr>12月日记账</vt:lpstr>
      <vt:lpstr>12月支援人员费用明细表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2026-01-28T05:51:42Z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D7C3D1FCBB7D49ABA59C614685B708E4_13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