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5.11结算" sheetId="1" r:id="rId1"/>
    <sheet name="11月回款" sheetId="20" r:id="rId2"/>
    <sheet name="11月日记账" sheetId="21" r:id="rId3"/>
    <sheet name="11月支援人员费用明细表" sheetId="22" r:id="rId4"/>
    <sheet name="云南垫付服装费" sheetId="23" r:id="rId5"/>
    <sheet name="云南垫付招投标费用" sheetId="24" r:id="rId6"/>
  </sheets>
  <definedNames>
    <definedName name="_xlnm._FilterDatabase" localSheetId="2" hidden="1">'11月日记账'!$A$30:$F$48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F11" authorId="0">
      <text>
        <r>
          <rPr>
            <b/>
            <sz val="9"/>
            <rFont val="宋体"/>
            <charset val="134"/>
          </rPr>
          <t>Administrator:</t>
        </r>
        <r>
          <rPr>
            <sz val="9"/>
            <rFont val="宋体"/>
            <charset val="134"/>
          </rPr>
          <t xml:space="preserve">
招标代理费</t>
        </r>
      </text>
    </comment>
  </commentList>
</comments>
</file>

<file path=xl/sharedStrings.xml><?xml version="1.0" encoding="utf-8"?>
<sst xmlns="http://schemas.openxmlformats.org/spreadsheetml/2006/main" count="396" uniqueCount="178">
  <si>
    <t>新疆工程学院项目</t>
  </si>
  <si>
    <t>收款周期</t>
  </si>
  <si>
    <t>云南中高收入（开票收款）</t>
  </si>
  <si>
    <t>实际收款</t>
  </si>
  <si>
    <t>云南上海公司支出费用统计</t>
  </si>
  <si>
    <t>云南中高向新疆公司支付金额</t>
  </si>
  <si>
    <t>新疆工程学院支付金额</t>
  </si>
  <si>
    <t>服务费金额</t>
  </si>
  <si>
    <t>附加税（云南中高缴纳）</t>
  </si>
  <si>
    <t>中高云南</t>
  </si>
  <si>
    <t>上海中高（建行）</t>
  </si>
  <si>
    <t>云南新疆分公司（招行）</t>
  </si>
  <si>
    <t>上海石河子分公司（招行）</t>
  </si>
  <si>
    <t>代垫支援人员工资+社保（未入新疆账）</t>
  </si>
  <si>
    <t>云南上海公司支出费用合计</t>
  </si>
  <si>
    <t>增值税差额</t>
  </si>
  <si>
    <t>新疆公司开具6%专票</t>
  </si>
  <si>
    <t>2025.11月</t>
  </si>
  <si>
    <t>合计</t>
  </si>
  <si>
    <t>36中项目</t>
  </si>
  <si>
    <t>36中支付金额</t>
  </si>
  <si>
    <t>增值税</t>
  </si>
  <si>
    <t>新疆公司开具6%差额发票</t>
  </si>
  <si>
    <t>八一中学项目</t>
  </si>
  <si>
    <t>八一中学支付金额</t>
  </si>
  <si>
    <t>新疆疾控中心项目</t>
  </si>
  <si>
    <t>上海中高向新疆公司支付金额</t>
  </si>
  <si>
    <t>疾控中心支付金额</t>
  </si>
  <si>
    <t xml:space="preserve">石河子大学项目 </t>
  </si>
  <si>
    <t>上海中高收入（开票收款）</t>
  </si>
  <si>
    <t>石河子大学支付金额（以实际结算为准）</t>
  </si>
  <si>
    <t>云南新疆公司（招行）</t>
  </si>
  <si>
    <t>新疆师专 -安保项目</t>
  </si>
  <si>
    <t>新疆师专支付金额</t>
  </si>
  <si>
    <t>不征税差额</t>
  </si>
  <si>
    <t>新疆师专-物业项目</t>
  </si>
  <si>
    <t>新疆图书馆项目</t>
  </si>
  <si>
    <t>图书馆支付金额</t>
  </si>
  <si>
    <t>新疆总工会项目</t>
  </si>
  <si>
    <t>总工会支付金额</t>
  </si>
  <si>
    <t>11月合计</t>
  </si>
  <si>
    <t>按收入成本支出发生金额结算，2025年11月，合计收款3725333.94元，其中工程学院以服务费为收入结算，最终结算的收入为2942861.24元。云南上海公司扣除成本合计823327.45元，11月需向新疆公司结算金额为2119533.79元。为平衡云南、上海公司收入和成本，本次新疆向上海中高结算开票2119533.79元；</t>
  </si>
  <si>
    <t>结算收入合计：</t>
  </si>
  <si>
    <t>特殊说明：工程学院不以实际收款为结算，按服务费为收入结算；</t>
  </si>
  <si>
    <t>支出成本合计：</t>
  </si>
  <si>
    <t>八一中学家属区物业费和停车费收到新疆个体户不需要和云南公司结算</t>
  </si>
  <si>
    <t>11月应结算金额</t>
  </si>
  <si>
    <t>11月新疆提前开票金额</t>
  </si>
  <si>
    <t>11月结算金额新疆公司只需开票</t>
  </si>
  <si>
    <t>其中开给上海公司</t>
  </si>
  <si>
    <t>收费台账（2025.11）</t>
  </si>
  <si>
    <t>序号</t>
  </si>
  <si>
    <t>收费项目</t>
  </si>
  <si>
    <t>实际回款情况</t>
  </si>
  <si>
    <t>备注</t>
  </si>
  <si>
    <t>主体公司</t>
  </si>
  <si>
    <t>收入金额</t>
  </si>
  <si>
    <t>实收金额</t>
  </si>
  <si>
    <t>实收日期</t>
  </si>
  <si>
    <t>新疆工程学院</t>
  </si>
  <si>
    <t>中高后勤服务（云南）有限公司</t>
  </si>
  <si>
    <t>八一中学</t>
  </si>
  <si>
    <t>新疆疾控中心</t>
  </si>
  <si>
    <t>36中</t>
  </si>
  <si>
    <t>石河子大学</t>
  </si>
  <si>
    <t>上海中高后勤服务（集团）有限公司</t>
  </si>
  <si>
    <t>新疆图书馆</t>
  </si>
  <si>
    <t>新疆师专物业</t>
  </si>
  <si>
    <t>新疆师专安保</t>
  </si>
  <si>
    <t>总工会</t>
  </si>
  <si>
    <t>业务日期</t>
  </si>
  <si>
    <t>摘要</t>
  </si>
  <si>
    <t>银行名称</t>
  </si>
  <si>
    <t>对方科目</t>
  </si>
  <si>
    <t>借方金额</t>
  </si>
  <si>
    <t>贷方金额</t>
  </si>
  <si>
    <t>2025-11-14</t>
  </si>
  <si>
    <t>2025.11.14缴纳社保</t>
  </si>
  <si>
    <t>上海石河子分公司招行993900603210001</t>
  </si>
  <si>
    <t>6401.03.07 主营业务成本 - 人工成本 - 社会保险/005 - 石河子大学</t>
  </si>
  <si>
    <t>2025-11-18</t>
  </si>
  <si>
    <t>2025.11.18石河子大学项目;发放10月工资</t>
  </si>
  <si>
    <t>6401.03.01 主营业务成本 - 人工成本 - 人员工资/005 - 石河子大学</t>
  </si>
  <si>
    <t>2025.11.18师专安保项目;发放10月工资</t>
  </si>
  <si>
    <t>6401.03.01 主营业务成本 - 人工成本 - 人员工资/007 - 新疆师范专科-安保</t>
  </si>
  <si>
    <t>2025.11.18发放非全日制2025.10.16-2025.10.31工资</t>
  </si>
  <si>
    <t>2025-11-20</t>
  </si>
  <si>
    <t>2025.11.20工程学院项目;雇主责任险</t>
  </si>
  <si>
    <t>云南新疆分公司招行991907864510001</t>
  </si>
  <si>
    <t>6401.03.10 主营业务成本 - 人工成本 - 雇主责任险/010 - 新疆工程学院</t>
  </si>
  <si>
    <t>2025-11-21</t>
  </si>
  <si>
    <t>2025.11.21缴纳社保</t>
  </si>
  <si>
    <t>2025-11-24</t>
  </si>
  <si>
    <t>2025.11.24发放非全日制2025.11.1-2025.11.15工资</t>
  </si>
  <si>
    <t>2025-11-25</t>
  </si>
  <si>
    <t>2025.11.25缴纳公积金</t>
  </si>
  <si>
    <t>6401.03.11 主营业务成本 - 人工成本 - 住房公积金/005 - 石河子大学</t>
  </si>
  <si>
    <t>2025-11-03</t>
  </si>
  <si>
    <t>新疆维吾尔自治区总工会办公室收费</t>
  </si>
  <si>
    <t>1002.01.05 上海中高建行上海临平路支行（2260）</t>
  </si>
  <si>
    <t>6001.03.01 主营业务收入 - 服务费收入 - 物业服务费收入/102 - 新疆维吾尔自治区总工会办公室</t>
  </si>
  <si>
    <t>2025-11-05</t>
  </si>
  <si>
    <t>石河子大学收费</t>
  </si>
  <si>
    <t>6001.03.01 主营业务收入 - 服务费收入 - 物业服务费收入/077 - 石河子大学</t>
  </si>
  <si>
    <t>新疆工程学院劳务派遣费</t>
  </si>
  <si>
    <t>1002.01.01 物业交行世纪城支行（8810）</t>
  </si>
  <si>
    <t>6001.12 主营业务收入 - 劳务派遣服务费收入/075 - 新疆工程学院</t>
  </si>
  <si>
    <t>新疆维吾尔自治区图书馆物业管理费</t>
  </si>
  <si>
    <t>6001.03.01 主营业务收入 - 服务费收入 - 物业服务费收入/097 - 新疆维吾尔自治区图书馆</t>
  </si>
  <si>
    <t>2025-11-06</t>
  </si>
  <si>
    <t>乌鲁木齐市第三十六中学收费</t>
  </si>
  <si>
    <t>6001.03.02 主营业务收入 - 服务费收入 - 餐饮服务费收入/071 - 新疆36中</t>
  </si>
  <si>
    <t>新疆工程学院侯德劳务派遣费</t>
  </si>
  <si>
    <t>2025-11-10</t>
  </si>
  <si>
    <t>新疆教育学院劳动服务公司10月安保费</t>
  </si>
  <si>
    <t>6001.10 主营业务收入 - 其他收入/093 - 新疆师范专科高等学院</t>
  </si>
  <si>
    <t>新疆师范高等专科学校物业费</t>
  </si>
  <si>
    <t>6001.03.01 主营业务收入 - 服务费收入 - 物业服务费收入/093 - 新疆师范专科高等学院</t>
  </si>
  <si>
    <t>2025-11-11</t>
  </si>
  <si>
    <t>石河子大学物业费</t>
  </si>
  <si>
    <t>2025-11-12</t>
  </si>
  <si>
    <t>新疆师范高等专科学校安保费安保费</t>
  </si>
  <si>
    <t>2025-11-13</t>
  </si>
  <si>
    <t>新疆维吾尔自治区疾病预防控制中心物业费</t>
  </si>
  <si>
    <t>6001.03.01 主营业务收入 - 服务费收入 - 物业服务费收入/110 - 新疆疾控中心</t>
  </si>
  <si>
    <t>2025-11-17</t>
  </si>
  <si>
    <t>新疆维吾尔自治区总工会机关服务中心付中高公司驾驶员10月份工资及社保款</t>
  </si>
  <si>
    <t>6001.12 主营业务收入 - 劳务派遣服务费收入/102 - 新疆维吾尔自治区总工会办公室</t>
  </si>
  <si>
    <t>石河子大学物业费收入</t>
  </si>
  <si>
    <t>2025-11-19</t>
  </si>
  <si>
    <t>乌鲁木齐八一中学物业费收入</t>
  </si>
  <si>
    <t>6001.03.01 主营业务收入 - 服务费收入 - 物业服务费收入/095 - 八一中学</t>
  </si>
  <si>
    <t>新疆维吾尔自治区总工会办公室物业费</t>
  </si>
  <si>
    <t>乌鲁木齐八一中学物业费</t>
  </si>
  <si>
    <t>新疆工程学院孙良戈劳务派遣费</t>
  </si>
  <si>
    <t>2025-11-26</t>
  </si>
  <si>
    <t>新疆工程学院李依凡劳务派遣费</t>
  </si>
  <si>
    <t>2025-11-28</t>
  </si>
  <si>
    <t>收款合计</t>
  </si>
  <si>
    <t>金额</t>
  </si>
  <si>
    <t>垫付合计</t>
  </si>
  <si>
    <t>工程学院</t>
  </si>
  <si>
    <t>石河子（石河子分公司）</t>
  </si>
  <si>
    <t>石河子项目结算</t>
  </si>
  <si>
    <t>师专安保（石河子分公司）</t>
  </si>
  <si>
    <t>师专安保结算</t>
  </si>
  <si>
    <t>工程学院结算</t>
  </si>
  <si>
    <t>师专安保</t>
  </si>
  <si>
    <t>师专-物业</t>
  </si>
  <si>
    <t>图书馆</t>
  </si>
  <si>
    <t>疾控中心</t>
  </si>
  <si>
    <t>项目名称</t>
  </si>
  <si>
    <t>支援人员</t>
  </si>
  <si>
    <t>社保公积金</t>
  </si>
  <si>
    <t>实发工资</t>
  </si>
  <si>
    <t>结算项目</t>
  </si>
  <si>
    <t>合计费用</t>
  </si>
  <si>
    <t>支出时间</t>
  </si>
  <si>
    <t>合计出勤天数</t>
  </si>
  <si>
    <t>支援项目</t>
  </si>
  <si>
    <t>云南总部</t>
  </si>
  <si>
    <t>牛叶丞</t>
  </si>
  <si>
    <t>放在疾控中心项目结算</t>
  </si>
  <si>
    <t>新疆出勤31个班</t>
  </si>
  <si>
    <t>蔡云川</t>
  </si>
  <si>
    <t>石河子大学出勤31个班；</t>
  </si>
  <si>
    <t>沈国良</t>
  </si>
  <si>
    <t>新疆大学绿化标段出勤31个班</t>
  </si>
  <si>
    <t>李彪</t>
  </si>
  <si>
    <t>石河子大学出勤31个班</t>
  </si>
  <si>
    <t>刘帅</t>
  </si>
  <si>
    <t>昌吉一中出勤31个班</t>
  </si>
  <si>
    <t>赵云利</t>
  </si>
  <si>
    <t>查丞璟</t>
  </si>
  <si>
    <t>张石平</t>
  </si>
  <si>
    <t>新疆出勤16个班（16-31日），100元/天，补贴1600元；新疆员工考勤通报扣除1000元；</t>
  </si>
  <si>
    <t>11月结算云南垫付费用149元</t>
  </si>
  <si>
    <t>放在八一中学结算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</si>
</sst>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0.00_ "/>
    <numFmt numFmtId="178" formatCode="yyyy/m/d;@"/>
    <numFmt numFmtId="179" formatCode="0.00_);[Red]\(0.00\)"/>
  </numFmts>
  <fonts count="41">
    <font>
      <sz val="11"/>
      <color theme="1"/>
      <name val="宋体"/>
      <charset val="134"/>
      <scheme val="minor"/>
    </font>
    <font>
      <sz val="10"/>
      <name val="宋体"/>
      <charset val="134"/>
      <scheme val="minor"/>
    </font>
    <font>
      <sz val="10"/>
      <color theme="1"/>
      <name val="宋体"/>
      <charset val="134"/>
      <scheme val="minor"/>
    </font>
    <font>
      <sz val="9"/>
      <color theme="1"/>
      <name val="宋体"/>
      <charset val="134"/>
      <scheme val="minor"/>
    </font>
    <font>
      <sz val="11"/>
      <name val="宋体"/>
      <charset val="134"/>
      <scheme val="minor"/>
    </font>
    <font>
      <sz val="11"/>
      <name val="微软雅黑"/>
      <charset val="134"/>
    </font>
    <font>
      <sz val="11"/>
      <name val="宋体"/>
      <charset val="134"/>
    </font>
    <font>
      <b/>
      <sz val="9"/>
      <name val="宋体"/>
      <charset val="134"/>
    </font>
    <font>
      <sz val="9"/>
      <name val="宋体"/>
      <charset val="134"/>
    </font>
    <font>
      <b/>
      <sz val="14"/>
      <name val="宋体"/>
      <charset val="134"/>
    </font>
    <font>
      <sz val="14"/>
      <name val="宋体"/>
      <charset val="134"/>
    </font>
    <font>
      <b/>
      <sz val="10"/>
      <name val="宋体"/>
      <charset val="134"/>
    </font>
    <font>
      <sz val="10"/>
      <name val="微软雅黑"/>
      <charset val="0"/>
    </font>
    <font>
      <sz val="11"/>
      <color theme="1"/>
      <name val="微软雅黑"/>
      <charset val="134"/>
    </font>
    <font>
      <sz val="10"/>
      <name val="微软雅黑"/>
      <charset val="134"/>
    </font>
    <font>
      <sz val="10"/>
      <color theme="1"/>
      <name val="微软雅黑"/>
      <charset val="134"/>
    </font>
    <font>
      <sz val="12"/>
      <color theme="1"/>
      <name val="宋体"/>
      <charset val="134"/>
      <scheme val="minor"/>
    </font>
    <font>
      <b/>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9"/>
      <name val="宋体"/>
      <charset val="134"/>
    </font>
    <font>
      <sz val="9"/>
      <name val="宋体"/>
      <charset val="134"/>
    </font>
  </fonts>
  <fills count="41">
    <fill>
      <patternFill patternType="none"/>
    </fill>
    <fill>
      <patternFill patternType="gray125"/>
    </fill>
    <fill>
      <patternFill patternType="solid">
        <fgColor rgb="FFFFFF00"/>
        <bgColor indexed="64"/>
      </patternFill>
    </fill>
    <fill>
      <patternFill patternType="solid">
        <fgColor theme="8" tint="0.8"/>
        <bgColor indexed="64"/>
      </patternFill>
    </fill>
    <fill>
      <patternFill patternType="solid">
        <fgColor theme="9" tint="0.8"/>
        <bgColor indexed="64"/>
      </patternFill>
    </fill>
    <fill>
      <patternFill patternType="solid">
        <fgColor theme="9" tint="0.599993896298105"/>
        <bgColor indexed="64"/>
      </patternFill>
    </fill>
    <fill>
      <patternFill patternType="solid">
        <fgColor theme="0"/>
        <bgColor indexed="64"/>
      </patternFill>
    </fill>
    <fill>
      <patternFill patternType="solid">
        <fgColor rgb="FF92D050"/>
        <bgColor indexed="64"/>
      </patternFill>
    </fill>
    <fill>
      <patternFill patternType="solid">
        <fgColor theme="5" tint="0.4"/>
        <bgColor indexed="64"/>
      </patternFill>
    </fill>
    <fill>
      <patternFill patternType="solid">
        <fgColor theme="9" tint="0.4"/>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11"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12" borderId="17" applyNumberFormat="0" applyAlignment="0" applyProtection="0">
      <alignment vertical="center"/>
    </xf>
    <xf numFmtId="0" fontId="28" fillId="13" borderId="18" applyNumberFormat="0" applyAlignment="0" applyProtection="0">
      <alignment vertical="center"/>
    </xf>
    <xf numFmtId="0" fontId="29" fillId="13" borderId="17" applyNumberFormat="0" applyAlignment="0" applyProtection="0">
      <alignment vertical="center"/>
    </xf>
    <xf numFmtId="0" fontId="30" fillId="14"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7" fillId="35" borderId="0" applyNumberFormat="0" applyBorder="0" applyAlignment="0" applyProtection="0">
      <alignment vertical="center"/>
    </xf>
    <xf numFmtId="0" fontId="37" fillId="36"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7" fillId="39" borderId="0" applyNumberFormat="0" applyBorder="0" applyAlignment="0" applyProtection="0">
      <alignment vertical="center"/>
    </xf>
    <xf numFmtId="0" fontId="37" fillId="5" borderId="0" applyNumberFormat="0" applyBorder="0" applyAlignment="0" applyProtection="0">
      <alignment vertical="center"/>
    </xf>
    <xf numFmtId="0" fontId="36" fillId="40" borderId="0" applyNumberFormat="0" applyBorder="0" applyAlignment="0" applyProtection="0">
      <alignment vertical="center"/>
    </xf>
    <xf numFmtId="0" fontId="38" fillId="0" borderId="0">
      <alignment vertical="center"/>
    </xf>
  </cellStyleXfs>
  <cellXfs count="141">
    <xf numFmtId="0" fontId="0" fillId="0" borderId="0" xfId="0">
      <alignment vertical="center"/>
    </xf>
    <xf numFmtId="0" fontId="0" fillId="0" borderId="0" xfId="0" applyAlignment="1">
      <alignment vertical="center" wrapText="1"/>
    </xf>
    <xf numFmtId="0" fontId="0" fillId="2" borderId="0" xfId="0" applyFill="1" applyAlignment="1">
      <alignment horizontal="center" vertical="center"/>
    </xf>
    <xf numFmtId="0" fontId="0" fillId="0" borderId="0" xfId="0" applyAlignment="1">
      <alignment horizontal="center" vertical="center"/>
    </xf>
    <xf numFmtId="43" fontId="0" fillId="0" borderId="0" xfId="0" applyNumberFormat="1" applyFont="1" applyAlignment="1">
      <alignment horizontal="center" vertical="center"/>
    </xf>
    <xf numFmtId="43" fontId="0" fillId="0" borderId="0" xfId="0" applyNumberFormat="1" applyAlignment="1">
      <alignment horizontal="center" vertical="center"/>
    </xf>
    <xf numFmtId="43" fontId="0" fillId="0" borderId="0" xfId="0" applyNumberFormat="1" applyAlignment="1">
      <alignment vertical="center"/>
    </xf>
    <xf numFmtId="43" fontId="0" fillId="3" borderId="0" xfId="0" applyNumberFormat="1" applyFill="1" applyAlignment="1">
      <alignment horizontal="center" vertical="center"/>
    </xf>
    <xf numFmtId="43" fontId="1" fillId="3" borderId="0" xfId="0" applyNumberFormat="1" applyFont="1" applyFill="1" applyAlignment="1">
      <alignment horizontal="center" vertical="center"/>
    </xf>
    <xf numFmtId="43" fontId="2" fillId="3" borderId="0" xfId="0" applyNumberFormat="1" applyFont="1" applyFill="1" applyAlignment="1">
      <alignment horizontal="center" vertical="center"/>
    </xf>
    <xf numFmtId="0" fontId="3" fillId="3" borderId="0" xfId="0" applyFont="1" applyFill="1" applyBorder="1" applyAlignment="1">
      <alignment horizontal="left" vertical="center"/>
    </xf>
    <xf numFmtId="43" fontId="0" fillId="4" borderId="0" xfId="0" applyNumberFormat="1" applyFill="1">
      <alignment vertical="center"/>
    </xf>
    <xf numFmtId="0" fontId="0" fillId="2" borderId="1" xfId="0" applyFill="1" applyBorder="1" applyAlignment="1">
      <alignment horizontal="center" vertical="center"/>
    </xf>
    <xf numFmtId="43" fontId="0" fillId="2" borderId="1" xfId="0" applyNumberFormat="1" applyFont="1" applyFill="1" applyBorder="1" applyAlignment="1">
      <alignment horizontal="center" vertical="center"/>
    </xf>
    <xf numFmtId="43" fontId="0" fillId="2" borderId="1" xfId="0" applyNumberFormat="1" applyFill="1" applyBorder="1" applyAlignment="1">
      <alignment horizontal="center" vertical="center" wrapText="1"/>
    </xf>
    <xf numFmtId="43" fontId="0" fillId="2" borderId="1" xfId="0" applyNumberFormat="1" applyFill="1" applyBorder="1" applyAlignment="1">
      <alignment vertical="center"/>
    </xf>
    <xf numFmtId="43" fontId="0" fillId="2" borderId="1" xfId="0" applyNumberFormat="1" applyFill="1" applyBorder="1" applyAlignment="1">
      <alignment horizontal="center" vertical="center"/>
    </xf>
    <xf numFmtId="43" fontId="1" fillId="2" borderId="1" xfId="0" applyNumberFormat="1" applyFont="1" applyFill="1" applyBorder="1" applyAlignment="1">
      <alignment horizontal="center" vertical="center"/>
    </xf>
    <xf numFmtId="43" fontId="2" fillId="2" borderId="1" xfId="0" applyNumberFormat="1" applyFont="1" applyFill="1" applyBorder="1" applyAlignment="1">
      <alignment horizontal="center" vertical="center"/>
    </xf>
    <xf numFmtId="0" fontId="3" fillId="3" borderId="0" xfId="0" applyFont="1" applyFill="1" applyBorder="1" applyAlignment="1">
      <alignment horizontal="center" vertical="center"/>
    </xf>
    <xf numFmtId="43" fontId="0" fillId="4" borderId="0" xfId="0" applyNumberFormat="1" applyFill="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4" fillId="0" borderId="3" xfId="0" applyFont="1" applyFill="1" applyBorder="1" applyAlignment="1" applyProtection="1">
      <alignment horizontal="center" vertical="center"/>
      <protection locked="0"/>
    </xf>
    <xf numFmtId="43" fontId="0" fillId="0" borderId="1" xfId="0" applyNumberFormat="1" applyBorder="1" applyAlignment="1">
      <alignment horizontal="center" vertical="center"/>
    </xf>
    <xf numFmtId="43" fontId="0" fillId="0" borderId="1" xfId="0" applyNumberFormat="1" applyBorder="1" applyAlignment="1">
      <alignment vertical="center"/>
    </xf>
    <xf numFmtId="43" fontId="0" fillId="0" borderId="1" xfId="0" applyNumberFormat="1" applyFont="1" applyBorder="1" applyAlignment="1">
      <alignment horizontal="center" vertical="center" wrapText="1"/>
    </xf>
    <xf numFmtId="176" fontId="0" fillId="3" borderId="1" xfId="0" applyNumberFormat="1" applyFill="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43" fontId="3" fillId="3" borderId="0" xfId="0" applyNumberFormat="1" applyFont="1" applyFill="1" applyAlignment="1">
      <alignment horizontal="center" vertical="center" wrapText="1"/>
    </xf>
    <xf numFmtId="0" fontId="0" fillId="0" borderId="4" xfId="0" applyBorder="1" applyAlignment="1">
      <alignment horizontal="center" vertical="center" wrapText="1"/>
    </xf>
    <xf numFmtId="177" fontId="5" fillId="0" borderId="5" xfId="0" applyNumberFormat="1" applyFont="1" applyFill="1" applyBorder="1" applyAlignment="1" applyProtection="1">
      <alignment horizontal="center" vertical="center"/>
      <protection locked="0"/>
    </xf>
    <xf numFmtId="177" fontId="5" fillId="0" borderId="1" xfId="0" applyNumberFormat="1" applyFont="1" applyFill="1" applyBorder="1" applyAlignment="1" applyProtection="1">
      <alignment horizontal="center" vertical="center" wrapText="1"/>
      <protection locked="0"/>
    </xf>
    <xf numFmtId="177" fontId="6" fillId="0" borderId="5" xfId="0" applyNumberFormat="1" applyFont="1" applyFill="1" applyBorder="1" applyAlignment="1" applyProtection="1">
      <alignment horizontal="center" vertical="center" wrapText="1"/>
      <protection locked="0"/>
    </xf>
    <xf numFmtId="177" fontId="6" fillId="0" borderId="5" xfId="0" applyNumberFormat="1" applyFont="1" applyFill="1" applyBorder="1" applyAlignment="1" applyProtection="1">
      <alignment horizontal="center" vertical="center"/>
      <protection locked="0"/>
    </xf>
    <xf numFmtId="0" fontId="0" fillId="0" borderId="3" xfId="0" applyBorder="1" applyAlignment="1">
      <alignment horizontal="center" vertical="center" wrapText="1"/>
    </xf>
    <xf numFmtId="43" fontId="4" fillId="0" borderId="1" xfId="0" applyNumberFormat="1" applyFont="1" applyBorder="1" applyAlignment="1">
      <alignment horizontal="center" vertical="center"/>
    </xf>
    <xf numFmtId="43" fontId="0" fillId="0" borderId="1" xfId="0" applyNumberFormat="1" applyFont="1" applyBorder="1" applyAlignment="1">
      <alignment horizontal="center" vertical="center"/>
    </xf>
    <xf numFmtId="43" fontId="4" fillId="0" borderId="1" xfId="0" applyNumberFormat="1" applyFont="1" applyBorder="1" applyAlignment="1">
      <alignment vertical="center"/>
    </xf>
    <xf numFmtId="43" fontId="2" fillId="3" borderId="1" xfId="0" applyNumberFormat="1"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ont="1" applyBorder="1" applyAlignment="1">
      <alignment horizontal="center" vertical="center"/>
    </xf>
    <xf numFmtId="43" fontId="0" fillId="0" borderId="0" xfId="0" applyNumberFormat="1" applyBorder="1" applyAlignment="1">
      <alignment horizontal="center" vertical="center"/>
    </xf>
    <xf numFmtId="43" fontId="0" fillId="0" borderId="0" xfId="0" applyNumberFormat="1" applyBorder="1" applyAlignment="1">
      <alignment vertical="center"/>
    </xf>
    <xf numFmtId="176" fontId="0" fillId="3" borderId="0" xfId="0" applyNumberFormat="1" applyFill="1" applyBorder="1" applyAlignment="1">
      <alignment horizontal="center" vertical="center"/>
    </xf>
    <xf numFmtId="0" fontId="0"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ont="1" applyFill="1" applyAlignment="1">
      <alignment vertical="center"/>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8"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9" fillId="0" borderId="6"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49" fontId="11" fillId="5" borderId="1" xfId="0" applyNumberFormat="1" applyFont="1" applyFill="1" applyBorder="1" applyAlignment="1">
      <alignment horizontal="center" vertical="center" wrapText="1"/>
    </xf>
    <xf numFmtId="177" fontId="11"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178" fontId="6" fillId="5" borderId="1" xfId="0" applyNumberFormat="1" applyFont="1" applyFill="1" applyBorder="1" applyAlignment="1">
      <alignment horizontal="center" vertical="center"/>
    </xf>
    <xf numFmtId="0" fontId="0" fillId="0" borderId="2" xfId="0" applyBorder="1" applyAlignment="1">
      <alignment horizontal="center" vertical="center"/>
    </xf>
    <xf numFmtId="179" fontId="6" fillId="5" borderId="1" xfId="0" applyNumberFormat="1" applyFont="1" applyFill="1" applyBorder="1" applyAlignment="1">
      <alignment horizontal="center" vertical="center" wrapText="1"/>
    </xf>
    <xf numFmtId="178" fontId="6" fillId="5" borderId="1" xfId="0" applyNumberFormat="1" applyFont="1" applyFill="1" applyBorder="1" applyAlignment="1">
      <alignment horizontal="center" vertical="center" wrapText="1"/>
    </xf>
    <xf numFmtId="0" fontId="0" fillId="0" borderId="3" xfId="0" applyBorder="1" applyAlignment="1">
      <alignment horizontal="center" vertical="center"/>
    </xf>
    <xf numFmtId="0" fontId="4" fillId="0" borderId="1" xfId="0" applyFont="1" applyFill="1" applyBorder="1" applyAlignment="1">
      <alignment horizontal="center" vertical="center" wrapText="1"/>
    </xf>
    <xf numFmtId="14" fontId="12" fillId="6" borderId="1" xfId="0" applyNumberFormat="1" applyFont="1" applyFill="1" applyBorder="1" applyAlignment="1">
      <alignment horizontal="center" vertical="center"/>
    </xf>
    <xf numFmtId="0" fontId="13" fillId="0" borderId="1" xfId="0" applyFont="1" applyBorder="1" applyAlignment="1">
      <alignment horizontal="center" vertical="center" wrapText="1"/>
    </xf>
    <xf numFmtId="0" fontId="0" fillId="0" borderId="0" xfId="0" applyAlignment="1">
      <alignment vertical="center"/>
    </xf>
    <xf numFmtId="0" fontId="13" fillId="0" borderId="0" xfId="0" applyFont="1" applyAlignment="1">
      <alignment horizontal="center" vertical="center" wrapText="1"/>
    </xf>
    <xf numFmtId="0" fontId="14" fillId="0" borderId="1" xfId="0" applyNumberFormat="1" applyFont="1" applyFill="1" applyBorder="1" applyAlignment="1">
      <alignment horizontal="center" vertical="center"/>
    </xf>
    <xf numFmtId="0" fontId="0" fillId="0" borderId="4" xfId="0" applyBorder="1" applyAlignment="1">
      <alignment horizontal="center" vertical="center"/>
    </xf>
    <xf numFmtId="0" fontId="14" fillId="0" borderId="1" xfId="0" applyNumberFormat="1" applyFont="1" applyBorder="1" applyAlignment="1">
      <alignment horizontal="center" vertical="center"/>
    </xf>
    <xf numFmtId="0" fontId="14" fillId="0" borderId="1" xfId="0" applyNumberFormat="1" applyFont="1" applyBorder="1" applyAlignment="1">
      <alignment horizontal="center" vertical="center" wrapText="1"/>
    </xf>
    <xf numFmtId="14" fontId="14" fillId="0" borderId="1" xfId="0" applyNumberFormat="1" applyFont="1" applyFill="1" applyBorder="1" applyAlignment="1">
      <alignment horizontal="center" vertical="center"/>
    </xf>
    <xf numFmtId="0" fontId="15" fillId="0" borderId="0" xfId="0" applyFont="1" applyAlignment="1">
      <alignment horizontal="center" vertical="center"/>
    </xf>
    <xf numFmtId="14" fontId="0" fillId="0" borderId="0" xfId="0" applyNumberFormat="1" applyFont="1" applyAlignment="1">
      <alignment horizontal="center" vertical="center"/>
    </xf>
    <xf numFmtId="0" fontId="14"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0" xfId="0" applyFont="1" applyAlignment="1">
      <alignment horizontal="center" vertical="center" wrapText="1"/>
    </xf>
    <xf numFmtId="0" fontId="15" fillId="0" borderId="1" xfId="0" applyFont="1" applyFill="1" applyBorder="1" applyAlignment="1">
      <alignment horizontal="center" vertical="center"/>
    </xf>
    <xf numFmtId="0" fontId="16" fillId="0" borderId="0" xfId="0" applyFont="1" applyFill="1" applyAlignment="1">
      <alignment horizontal="center" vertical="center"/>
    </xf>
    <xf numFmtId="177" fontId="16" fillId="0" borderId="0" xfId="0" applyNumberFormat="1" applyFont="1" applyAlignment="1">
      <alignment horizontal="center" vertical="center"/>
    </xf>
    <xf numFmtId="177" fontId="16" fillId="0" borderId="0" xfId="0" applyNumberFormat="1" applyFont="1" applyAlignment="1">
      <alignment horizontal="center" vertical="center" wrapText="1"/>
    </xf>
    <xf numFmtId="177" fontId="16" fillId="0" borderId="0" xfId="0" applyNumberFormat="1" applyFont="1" applyFill="1" applyAlignment="1">
      <alignment horizontal="center" vertical="center"/>
    </xf>
    <xf numFmtId="0" fontId="16" fillId="0" borderId="0" xfId="0" applyFont="1" applyAlignment="1">
      <alignment horizontal="center" vertical="center"/>
    </xf>
    <xf numFmtId="177" fontId="16" fillId="6" borderId="0" xfId="0" applyNumberFormat="1" applyFont="1" applyFill="1" applyAlignment="1">
      <alignment horizontal="center" vertical="center"/>
    </xf>
    <xf numFmtId="177" fontId="16" fillId="6" borderId="0" xfId="0" applyNumberFormat="1" applyFont="1" applyFill="1" applyAlignment="1">
      <alignment horizontal="center" vertical="center" wrapText="1"/>
    </xf>
    <xf numFmtId="177" fontId="17" fillId="7" borderId="1" xfId="0" applyNumberFormat="1" applyFont="1" applyFill="1" applyBorder="1" applyAlignment="1">
      <alignment horizontal="center" vertical="center"/>
    </xf>
    <xf numFmtId="177" fontId="16" fillId="7" borderId="2" xfId="0" applyNumberFormat="1" applyFont="1" applyFill="1" applyBorder="1" applyAlignment="1">
      <alignment horizontal="center" vertical="center" wrapText="1"/>
    </xf>
    <xf numFmtId="177" fontId="16" fillId="7" borderId="1" xfId="0" applyNumberFormat="1" applyFont="1" applyFill="1" applyBorder="1" applyAlignment="1">
      <alignment horizontal="center" vertical="center" wrapText="1"/>
    </xf>
    <xf numFmtId="177" fontId="16" fillId="7" borderId="9" xfId="0" applyNumberFormat="1" applyFont="1" applyFill="1" applyBorder="1" applyAlignment="1">
      <alignment horizontal="center" vertical="center" wrapText="1"/>
    </xf>
    <xf numFmtId="177" fontId="16" fillId="7" borderId="10" xfId="0" applyNumberFormat="1" applyFont="1" applyFill="1" applyBorder="1" applyAlignment="1">
      <alignment horizontal="center" vertical="center" wrapText="1"/>
    </xf>
    <xf numFmtId="177" fontId="16" fillId="7" borderId="11" xfId="0" applyNumberFormat="1" applyFont="1" applyFill="1" applyBorder="1" applyAlignment="1">
      <alignment horizontal="center" vertical="center" wrapText="1"/>
    </xf>
    <xf numFmtId="177" fontId="16" fillId="7" borderId="0" xfId="0" applyNumberFormat="1" applyFont="1" applyFill="1" applyAlignment="1">
      <alignment horizontal="center" vertical="center"/>
    </xf>
    <xf numFmtId="177" fontId="16" fillId="7" borderId="3" xfId="0" applyNumberFormat="1" applyFont="1" applyFill="1" applyBorder="1" applyAlignment="1">
      <alignment horizontal="center" vertical="center"/>
    </xf>
    <xf numFmtId="177" fontId="16" fillId="7" borderId="3" xfId="0" applyNumberFormat="1" applyFont="1" applyFill="1" applyBorder="1" applyAlignment="1">
      <alignment horizontal="center" vertical="center" wrapText="1"/>
    </xf>
    <xf numFmtId="177" fontId="16" fillId="7" borderId="8" xfId="0" applyNumberFormat="1" applyFont="1" applyFill="1" applyBorder="1" applyAlignment="1">
      <alignment horizontal="center" vertical="center" wrapText="1"/>
    </xf>
    <xf numFmtId="177" fontId="16" fillId="7" borderId="1" xfId="0" applyNumberFormat="1" applyFont="1" applyFill="1" applyBorder="1" applyAlignment="1">
      <alignment horizontal="center" vertical="center"/>
    </xf>
    <xf numFmtId="177" fontId="16" fillId="0" borderId="1" xfId="0" applyNumberFormat="1" applyFont="1" applyBorder="1" applyAlignment="1">
      <alignment horizontal="center" vertical="center"/>
    </xf>
    <xf numFmtId="177" fontId="18" fillId="0" borderId="1" xfId="0" applyNumberFormat="1" applyFont="1" applyBorder="1" applyAlignment="1">
      <alignment horizontal="center" vertical="center"/>
    </xf>
    <xf numFmtId="177" fontId="16" fillId="6" borderId="12" xfId="0" applyNumberFormat="1" applyFont="1" applyFill="1" applyBorder="1" applyAlignment="1">
      <alignment horizontal="center" vertical="center" wrapText="1"/>
    </xf>
    <xf numFmtId="177" fontId="16" fillId="0" borderId="1" xfId="0" applyNumberFormat="1" applyFont="1" applyBorder="1" applyAlignment="1">
      <alignment horizontal="center" vertical="center" wrapText="1"/>
    </xf>
    <xf numFmtId="177" fontId="16" fillId="6" borderId="1" xfId="0" applyNumberFormat="1" applyFont="1" applyFill="1" applyBorder="1" applyAlignment="1">
      <alignment horizontal="center" vertical="center"/>
    </xf>
    <xf numFmtId="177" fontId="17" fillId="0" borderId="1" xfId="0" applyNumberFormat="1" applyFont="1" applyBorder="1" applyAlignment="1">
      <alignment horizontal="center" vertical="center"/>
    </xf>
    <xf numFmtId="177" fontId="16" fillId="0" borderId="6" xfId="0" applyNumberFormat="1" applyFont="1" applyBorder="1" applyAlignment="1">
      <alignment horizontal="center" vertical="center"/>
    </xf>
    <xf numFmtId="177" fontId="0" fillId="0" borderId="0" xfId="0" applyNumberFormat="1" applyFill="1" applyAlignment="1">
      <alignment horizontal="center" vertical="center"/>
    </xf>
    <xf numFmtId="177" fontId="16" fillId="7" borderId="6" xfId="0" applyNumberFormat="1" applyFont="1" applyFill="1" applyBorder="1" applyAlignment="1">
      <alignment horizontal="center" vertical="center" wrapText="1"/>
    </xf>
    <xf numFmtId="177" fontId="16" fillId="7" borderId="7" xfId="0" applyNumberFormat="1" applyFont="1" applyFill="1" applyBorder="1" applyAlignment="1">
      <alignment horizontal="center" vertical="center" wrapText="1"/>
    </xf>
    <xf numFmtId="177" fontId="16" fillId="0" borderId="6" xfId="0" applyNumberFormat="1" applyFont="1" applyBorder="1" applyAlignment="1">
      <alignment vertical="center"/>
    </xf>
    <xf numFmtId="177" fontId="16" fillId="7" borderId="13" xfId="0" applyNumberFormat="1" applyFont="1" applyFill="1" applyBorder="1" applyAlignment="1">
      <alignment horizontal="center" vertical="center" wrapText="1"/>
    </xf>
    <xf numFmtId="177" fontId="16" fillId="0" borderId="1" xfId="0" applyNumberFormat="1" applyFont="1" applyBorder="1" applyAlignment="1">
      <alignment vertical="center"/>
    </xf>
    <xf numFmtId="177" fontId="16" fillId="6" borderId="3" xfId="0" applyNumberFormat="1" applyFont="1" applyFill="1" applyBorder="1" applyAlignment="1">
      <alignment horizontal="center" vertical="center"/>
    </xf>
    <xf numFmtId="177" fontId="16" fillId="0" borderId="3" xfId="0" applyNumberFormat="1" applyFont="1" applyFill="1" applyBorder="1" applyAlignment="1">
      <alignment horizontal="center" vertical="center"/>
    </xf>
    <xf numFmtId="177" fontId="17" fillId="6" borderId="1" xfId="0" applyNumberFormat="1" applyFont="1" applyFill="1" applyBorder="1" applyAlignment="1">
      <alignment horizontal="center" vertical="center"/>
    </xf>
    <xf numFmtId="177" fontId="16" fillId="6" borderId="1" xfId="0" applyNumberFormat="1" applyFont="1" applyFill="1" applyBorder="1" applyAlignment="1">
      <alignment horizontal="center" vertical="center" wrapText="1"/>
    </xf>
    <xf numFmtId="0" fontId="16" fillId="0" borderId="1" xfId="0" applyFont="1" applyBorder="1" applyAlignment="1">
      <alignment horizontal="center" vertical="center"/>
    </xf>
    <xf numFmtId="177" fontId="18" fillId="8" borderId="0" xfId="0" applyNumberFormat="1" applyFont="1" applyFill="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center" vertical="center" wrapText="1"/>
    </xf>
    <xf numFmtId="177" fontId="16" fillId="9" borderId="0" xfId="0" applyNumberFormat="1" applyFont="1" applyFill="1" applyAlignment="1">
      <alignment horizontal="center" vertical="center"/>
    </xf>
    <xf numFmtId="177" fontId="16" fillId="10" borderId="0" xfId="0" applyNumberFormat="1" applyFon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5"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9</xdr:col>
      <xdr:colOff>1590675</xdr:colOff>
      <xdr:row>19</xdr:row>
      <xdr:rowOff>161925</xdr:rowOff>
    </xdr:to>
    <xdr:pic>
      <xdr:nvPicPr>
        <xdr:cNvPr id="2" name="图片 1"/>
        <xdr:cNvPicPr>
          <a:picLocks noChangeAspect="1"/>
        </xdr:cNvPicPr>
      </xdr:nvPicPr>
      <xdr:blipFill>
        <a:blip r:embed="rId1"/>
        <a:stretch>
          <a:fillRect/>
        </a:stretch>
      </xdr:blipFill>
      <xdr:spPr>
        <a:xfrm>
          <a:off x="0" y="0"/>
          <a:ext cx="9248775" cy="341947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14</xdr:col>
      <xdr:colOff>124460</xdr:colOff>
      <xdr:row>43</xdr:row>
      <xdr:rowOff>114935</xdr:rowOff>
    </xdr:to>
    <xdr:pic>
      <xdr:nvPicPr>
        <xdr:cNvPr id="2" name="图片 1"/>
        <xdr:cNvPicPr>
          <a:picLocks noChangeAspect="1"/>
        </xdr:cNvPicPr>
      </xdr:nvPicPr>
      <xdr:blipFill>
        <a:blip r:embed="rId1"/>
        <a:stretch>
          <a:fillRect/>
        </a:stretch>
      </xdr:blipFill>
      <xdr:spPr>
        <a:xfrm>
          <a:off x="635" y="635"/>
          <a:ext cx="9725025" cy="748665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1"/>
  <sheetViews>
    <sheetView tabSelected="1" zoomScale="90" zoomScaleNormal="90" topLeftCell="A51" workbookViewId="0">
      <selection activeCell="N68" sqref="N67:N68"/>
    </sheetView>
  </sheetViews>
  <sheetFormatPr defaultColWidth="9" defaultRowHeight="14.25"/>
  <cols>
    <col min="1" max="1" width="19.3333333333333" style="101" customWidth="1"/>
    <col min="2" max="2" width="14.4416666666667" style="101" customWidth="1"/>
    <col min="3" max="3" width="11.9416666666667" style="101" customWidth="1"/>
    <col min="4" max="4" width="13.2" style="101" customWidth="1"/>
    <col min="5" max="5" width="9.575" style="101" customWidth="1"/>
    <col min="6" max="6" width="14.3333333333333" style="101" customWidth="1"/>
    <col min="7" max="7" width="12.3333333333333" style="101" customWidth="1"/>
    <col min="8" max="8" width="13.4416666666667" style="101" customWidth="1"/>
    <col min="9" max="9" width="16.5583333333333" style="102" customWidth="1"/>
    <col min="10" max="10" width="23.6666666666667" style="101" customWidth="1"/>
    <col min="11" max="11" width="19.8833333333333" style="101" customWidth="1"/>
    <col min="12" max="12" width="14.2166666666667" style="101" customWidth="1"/>
    <col min="13" max="13" width="22.2166666666667" style="101" customWidth="1"/>
    <col min="14" max="14" width="12.6333333333333" style="103" customWidth="1"/>
    <col min="15" max="16384" width="9" style="104"/>
  </cols>
  <sheetData>
    <row r="1" spans="1:14">
      <c r="A1" s="105"/>
      <c r="B1" s="105"/>
      <c r="C1" s="105"/>
      <c r="D1" s="105"/>
      <c r="E1" s="105"/>
      <c r="F1" s="105"/>
      <c r="G1" s="105"/>
      <c r="H1" s="105"/>
      <c r="I1" s="106"/>
      <c r="J1" s="105"/>
      <c r="K1" s="105"/>
      <c r="L1" s="105"/>
      <c r="M1" s="105"/>
    </row>
    <row r="2" ht="19.05" customHeight="1" spans="1:14">
      <c r="A2" s="107" t="s">
        <v>0</v>
      </c>
      <c r="B2" s="107"/>
      <c r="C2" s="107"/>
      <c r="D2" s="107"/>
      <c r="E2" s="107"/>
      <c r="F2" s="107"/>
      <c r="G2" s="107"/>
      <c r="H2" s="107"/>
      <c r="I2" s="107"/>
      <c r="J2" s="107"/>
      <c r="K2" s="107"/>
      <c r="L2" s="107"/>
      <c r="M2" s="107"/>
    </row>
    <row r="3" ht="31.2" customHeight="1" spans="1:14">
      <c r="A3" s="108" t="s">
        <v>1</v>
      </c>
      <c r="B3" s="109" t="s">
        <v>2</v>
      </c>
      <c r="C3" s="108" t="s">
        <v>3</v>
      </c>
      <c r="D3" s="109"/>
      <c r="E3" s="110" t="s">
        <v>4</v>
      </c>
      <c r="F3" s="111"/>
      <c r="G3" s="111"/>
      <c r="H3" s="111"/>
      <c r="I3" s="111"/>
      <c r="J3" s="111"/>
      <c r="K3" s="112"/>
      <c r="L3" s="113"/>
      <c r="M3" s="109" t="s">
        <v>5</v>
      </c>
    </row>
    <row r="4" ht="42.75" spans="1:14">
      <c r="A4" s="114"/>
      <c r="B4" s="109" t="s">
        <v>6</v>
      </c>
      <c r="C4" s="115"/>
      <c r="D4" s="115" t="s">
        <v>7</v>
      </c>
      <c r="E4" s="109" t="s">
        <v>8</v>
      </c>
      <c r="F4" s="109" t="s">
        <v>9</v>
      </c>
      <c r="G4" s="109" t="s">
        <v>10</v>
      </c>
      <c r="H4" s="109" t="s">
        <v>11</v>
      </c>
      <c r="I4" s="109" t="s">
        <v>12</v>
      </c>
      <c r="J4" s="109" t="s">
        <v>13</v>
      </c>
      <c r="K4" s="116" t="s">
        <v>14</v>
      </c>
      <c r="L4" s="113" t="s">
        <v>15</v>
      </c>
      <c r="M4" s="117" t="s">
        <v>16</v>
      </c>
    </row>
    <row r="5" ht="25" customHeight="1" spans="1:14">
      <c r="A5" s="118" t="s">
        <v>17</v>
      </c>
      <c r="B5" s="118">
        <f>'11月日记账'!B39</f>
        <v>799518.7</v>
      </c>
      <c r="C5" s="118">
        <f>B5</f>
        <v>799518.7</v>
      </c>
      <c r="D5" s="119">
        <f>'11月回款'!H4</f>
        <v>17046</v>
      </c>
      <c r="E5" s="120">
        <f>D5/1.05*0.05*0.12/2</f>
        <v>48.7028571428571</v>
      </c>
      <c r="F5" s="118"/>
      <c r="G5" s="118"/>
      <c r="H5" s="118">
        <f>'11月日记账'!E41</f>
        <v>208.25</v>
      </c>
      <c r="I5" s="121"/>
      <c r="J5" s="118"/>
      <c r="K5" s="118">
        <f>E5+F5+G5+H5+I5+J5</f>
        <v>256.952857142857</v>
      </c>
      <c r="L5" s="118">
        <f>D5/1.05*0.05</f>
        <v>811.714285714286</v>
      </c>
      <c r="M5" s="122">
        <f>D5-K5-L5</f>
        <v>15977.3328571429</v>
      </c>
    </row>
    <row r="6" ht="25" customHeight="1" spans="1:14">
      <c r="A6" s="123" t="s">
        <v>18</v>
      </c>
      <c r="B6" s="118">
        <f>SUM(B5:B5)</f>
        <v>799518.7</v>
      </c>
      <c r="C6" s="118">
        <f>SUM(C5:C5)</f>
        <v>799518.7</v>
      </c>
      <c r="D6" s="118">
        <f>SUM(D5:D5)</f>
        <v>17046</v>
      </c>
      <c r="E6" s="124">
        <f>SUM(E5:E5)</f>
        <v>48.7028571428571</v>
      </c>
      <c r="F6" s="118">
        <f t="shared" ref="F6:N6" si="0">SUM(F5:F5)</f>
        <v>0</v>
      </c>
      <c r="G6" s="118">
        <f t="shared" si="0"/>
        <v>0</v>
      </c>
      <c r="H6" s="118">
        <f t="shared" si="0"/>
        <v>208.25</v>
      </c>
      <c r="I6" s="118">
        <f t="shared" si="0"/>
        <v>0</v>
      </c>
      <c r="J6" s="118">
        <f t="shared" si="0"/>
        <v>0</v>
      </c>
      <c r="K6" s="118">
        <f t="shared" si="0"/>
        <v>256.952857142857</v>
      </c>
      <c r="L6" s="118">
        <f t="shared" si="0"/>
        <v>811.714285714286</v>
      </c>
      <c r="M6" s="118">
        <f t="shared" si="0"/>
        <v>15977.3328571429</v>
      </c>
      <c r="N6" s="103">
        <f>M6</f>
        <v>15977.3328571429</v>
      </c>
    </row>
    <row r="8" spans="1:14">
      <c r="A8" s="107" t="s">
        <v>19</v>
      </c>
      <c r="B8" s="107"/>
      <c r="C8" s="107"/>
      <c r="D8" s="107"/>
      <c r="E8" s="107"/>
      <c r="F8" s="107"/>
      <c r="G8" s="107"/>
      <c r="H8" s="107"/>
      <c r="I8" s="107"/>
      <c r="J8" s="107"/>
      <c r="K8" s="107"/>
      <c r="L8" s="107"/>
      <c r="M8" s="107"/>
      <c r="N8" s="125"/>
    </row>
    <row r="9" ht="28.5" spans="1:14">
      <c r="A9" s="108" t="s">
        <v>1</v>
      </c>
      <c r="B9" s="109" t="s">
        <v>2</v>
      </c>
      <c r="C9" s="108" t="s">
        <v>3</v>
      </c>
      <c r="D9" s="126" t="s">
        <v>4</v>
      </c>
      <c r="E9" s="127"/>
      <c r="F9" s="127"/>
      <c r="G9" s="127"/>
      <c r="H9" s="127"/>
      <c r="I9" s="127"/>
      <c r="J9" s="127"/>
      <c r="K9" s="127"/>
      <c r="L9" s="116"/>
      <c r="M9" s="109" t="s">
        <v>5</v>
      </c>
      <c r="N9" s="125"/>
    </row>
    <row r="10" ht="42.75" spans="1:14">
      <c r="A10" s="114"/>
      <c r="B10" s="109" t="s">
        <v>20</v>
      </c>
      <c r="C10" s="115"/>
      <c r="D10" s="115" t="s">
        <v>7</v>
      </c>
      <c r="E10" s="109" t="s">
        <v>8</v>
      </c>
      <c r="F10" s="109" t="s">
        <v>9</v>
      </c>
      <c r="G10" s="109" t="s">
        <v>10</v>
      </c>
      <c r="H10" s="109" t="s">
        <v>11</v>
      </c>
      <c r="I10" s="109" t="s">
        <v>12</v>
      </c>
      <c r="J10" s="109" t="s">
        <v>13</v>
      </c>
      <c r="K10" s="116" t="s">
        <v>14</v>
      </c>
      <c r="L10" s="113" t="s">
        <v>21</v>
      </c>
      <c r="M10" s="117" t="s">
        <v>22</v>
      </c>
      <c r="N10" s="125"/>
    </row>
    <row r="11" ht="20" customHeight="1" spans="1:14">
      <c r="A11" s="118" t="s">
        <v>17</v>
      </c>
      <c r="B11" s="118">
        <f>'11月日记账'!B44</f>
        <v>31401.31</v>
      </c>
      <c r="C11" s="118">
        <f>B11</f>
        <v>31401.31</v>
      </c>
      <c r="D11" s="3"/>
      <c r="E11" s="128">
        <f>C11/1.06*0.06*0.12/2</f>
        <v>106.645958490566</v>
      </c>
      <c r="F11" s="21">
        <v>60000</v>
      </c>
      <c r="G11" s="118"/>
      <c r="H11" s="118"/>
      <c r="I11" s="121"/>
      <c r="J11" s="118"/>
      <c r="K11" s="122">
        <f>SUM(E11:J11)</f>
        <v>60106.6459584906</v>
      </c>
      <c r="L11" s="122">
        <f>C11/1.06*0.06</f>
        <v>1777.43264150943</v>
      </c>
      <c r="M11" s="122">
        <f>C11-K11-L11</f>
        <v>-30482.7686</v>
      </c>
      <c r="N11" s="125"/>
    </row>
    <row r="12" ht="20" customHeight="1" spans="1:14">
      <c r="A12" s="118" t="s">
        <v>18</v>
      </c>
      <c r="B12" s="118">
        <f t="shared" ref="B12:N12" si="1">SUM(B11:B11)</f>
        <v>31401.31</v>
      </c>
      <c r="C12" s="118">
        <f t="shared" si="1"/>
        <v>31401.31</v>
      </c>
      <c r="D12" s="118">
        <f t="shared" si="1"/>
        <v>0</v>
      </c>
      <c r="E12" s="124">
        <f t="shared" si="1"/>
        <v>106.645958490566</v>
      </c>
      <c r="F12" s="118">
        <f t="shared" si="1"/>
        <v>60000</v>
      </c>
      <c r="G12" s="118">
        <f t="shared" si="1"/>
        <v>0</v>
      </c>
      <c r="H12" s="118">
        <f t="shared" si="1"/>
        <v>0</v>
      </c>
      <c r="I12" s="118">
        <f t="shared" si="1"/>
        <v>0</v>
      </c>
      <c r="J12" s="118">
        <f t="shared" si="1"/>
        <v>0</v>
      </c>
      <c r="K12" s="118">
        <f t="shared" si="1"/>
        <v>60106.6459584906</v>
      </c>
      <c r="L12" s="118">
        <f t="shared" si="1"/>
        <v>1777.43264150943</v>
      </c>
      <c r="M12" s="118">
        <f t="shared" si="1"/>
        <v>-30482.7686</v>
      </c>
      <c r="N12" s="103">
        <f>M12</f>
        <v>-30482.7686</v>
      </c>
    </row>
    <row r="15" spans="1:14">
      <c r="A15" s="107" t="s">
        <v>23</v>
      </c>
      <c r="B15" s="107"/>
      <c r="C15" s="107"/>
      <c r="D15" s="107"/>
      <c r="E15" s="107"/>
      <c r="F15" s="107"/>
      <c r="G15" s="107"/>
      <c r="H15" s="107"/>
      <c r="I15" s="107"/>
      <c r="J15" s="107"/>
      <c r="K15" s="107"/>
      <c r="L15" s="107"/>
      <c r="M15" s="107"/>
    </row>
    <row r="16" ht="28.5" spans="1:14">
      <c r="A16" s="108" t="s">
        <v>1</v>
      </c>
      <c r="B16" s="109" t="s">
        <v>2</v>
      </c>
      <c r="C16" s="108" t="s">
        <v>3</v>
      </c>
      <c r="D16" s="109" t="s">
        <v>4</v>
      </c>
      <c r="E16" s="109"/>
      <c r="F16" s="109"/>
      <c r="G16" s="109"/>
      <c r="H16" s="109"/>
      <c r="I16" s="109"/>
      <c r="J16" s="109"/>
      <c r="K16" s="109"/>
      <c r="L16" s="109"/>
      <c r="M16" s="109" t="s">
        <v>5</v>
      </c>
    </row>
    <row r="17" ht="42.75" spans="1:14">
      <c r="A17" s="114"/>
      <c r="B17" s="109" t="s">
        <v>24</v>
      </c>
      <c r="C17" s="115"/>
      <c r="D17" s="115" t="s">
        <v>7</v>
      </c>
      <c r="E17" s="109" t="s">
        <v>8</v>
      </c>
      <c r="F17" s="115" t="s">
        <v>9</v>
      </c>
      <c r="G17" s="115" t="s">
        <v>10</v>
      </c>
      <c r="H17" s="115" t="s">
        <v>11</v>
      </c>
      <c r="I17" s="115" t="s">
        <v>12</v>
      </c>
      <c r="J17" s="109" t="s">
        <v>13</v>
      </c>
      <c r="K17" s="129" t="s">
        <v>14</v>
      </c>
      <c r="L17" s="114" t="s">
        <v>21</v>
      </c>
      <c r="M17" s="117" t="s">
        <v>16</v>
      </c>
    </row>
    <row r="18" ht="19" customHeight="1" spans="1:14">
      <c r="A18" s="118" t="s">
        <v>17</v>
      </c>
      <c r="B18" s="21">
        <f>'11月日记账'!B40</f>
        <v>657405.26</v>
      </c>
      <c r="C18" s="118">
        <f>B18</f>
        <v>657405.26</v>
      </c>
      <c r="E18" s="128">
        <f>C18/1.06*0.06*0.12/2</f>
        <v>2232.69710943396</v>
      </c>
      <c r="F18" s="118">
        <v>149</v>
      </c>
      <c r="G18" s="118"/>
      <c r="H18" s="118"/>
      <c r="I18" s="121"/>
      <c r="K18" s="122">
        <f>SUM(E18:J18)</f>
        <v>2381.69710943396</v>
      </c>
      <c r="L18" s="122">
        <f>K18/1.06*0.06</f>
        <v>134.813043930224</v>
      </c>
      <c r="M18" s="122">
        <f>C18-K18-L18</f>
        <v>654888.749846636</v>
      </c>
    </row>
    <row r="19" ht="19" customHeight="1" spans="1:14">
      <c r="A19" s="118" t="s">
        <v>18</v>
      </c>
      <c r="B19" s="118">
        <f>SUM(B18:B18)</f>
        <v>657405.26</v>
      </c>
      <c r="C19" s="118">
        <f>SUM(C18:C18)</f>
        <v>657405.26</v>
      </c>
      <c r="D19" s="118">
        <f>SUM(D18:D18)</f>
        <v>0</v>
      </c>
      <c r="E19" s="118">
        <f>SUM(E18:E18)</f>
        <v>2232.69710943396</v>
      </c>
      <c r="F19" s="118">
        <f>SUM(F18:F18)</f>
        <v>149</v>
      </c>
      <c r="G19" s="118">
        <f t="shared" ref="F19:N19" si="2">SUM(G18:G18)</f>
        <v>0</v>
      </c>
      <c r="H19" s="118">
        <f t="shared" si="2"/>
        <v>0</v>
      </c>
      <c r="I19" s="118">
        <f t="shared" si="2"/>
        <v>0</v>
      </c>
      <c r="J19" s="118">
        <f t="shared" si="2"/>
        <v>0</v>
      </c>
      <c r="K19" s="118">
        <f t="shared" si="2"/>
        <v>2381.69710943396</v>
      </c>
      <c r="L19" s="118">
        <f t="shared" si="2"/>
        <v>134.813043930224</v>
      </c>
      <c r="M19" s="118">
        <f t="shared" si="2"/>
        <v>654888.749846636</v>
      </c>
      <c r="N19" s="103">
        <f>M19</f>
        <v>654888.749846636</v>
      </c>
    </row>
    <row r="22" ht="23" customHeight="1" spans="1:14">
      <c r="A22" s="107" t="s">
        <v>25</v>
      </c>
      <c r="B22" s="107"/>
      <c r="C22" s="107"/>
      <c r="D22" s="107"/>
      <c r="E22" s="107"/>
      <c r="F22" s="107"/>
      <c r="G22" s="107"/>
      <c r="H22" s="107"/>
      <c r="I22" s="107"/>
      <c r="J22" s="107"/>
      <c r="K22" s="107"/>
      <c r="L22" s="107"/>
      <c r="M22" s="107"/>
    </row>
    <row r="23" ht="23" customHeight="1" spans="1:14">
      <c r="A23" s="108" t="s">
        <v>1</v>
      </c>
      <c r="B23" s="109" t="s">
        <v>2</v>
      </c>
      <c r="C23" s="108" t="s">
        <v>3</v>
      </c>
      <c r="D23" s="109" t="s">
        <v>4</v>
      </c>
      <c r="E23" s="109"/>
      <c r="F23" s="109"/>
      <c r="G23" s="109"/>
      <c r="H23" s="109"/>
      <c r="I23" s="109"/>
      <c r="J23" s="109"/>
      <c r="K23" s="109"/>
      <c r="L23" s="109"/>
      <c r="M23" s="109" t="s">
        <v>26</v>
      </c>
    </row>
    <row r="24" ht="30" customHeight="1" spans="1:14">
      <c r="A24" s="114"/>
      <c r="B24" s="109" t="s">
        <v>27</v>
      </c>
      <c r="C24" s="115"/>
      <c r="D24" s="115" t="s">
        <v>7</v>
      </c>
      <c r="E24" s="109" t="s">
        <v>8</v>
      </c>
      <c r="F24" s="115" t="s">
        <v>9</v>
      </c>
      <c r="G24" s="115" t="s">
        <v>10</v>
      </c>
      <c r="H24" s="115" t="s">
        <v>11</v>
      </c>
      <c r="I24" s="115" t="s">
        <v>12</v>
      </c>
      <c r="J24" s="109" t="s">
        <v>13</v>
      </c>
      <c r="K24" s="129" t="s">
        <v>14</v>
      </c>
      <c r="L24" s="114" t="s">
        <v>21</v>
      </c>
      <c r="M24" s="117" t="s">
        <v>16</v>
      </c>
    </row>
    <row r="25" ht="30" customHeight="1" spans="1:14">
      <c r="A25" s="118" t="s">
        <v>17</v>
      </c>
      <c r="B25" s="118">
        <f>'11月日记账'!B47</f>
        <v>558000</v>
      </c>
      <c r="C25" s="118">
        <f>B25</f>
        <v>558000</v>
      </c>
      <c r="E25" s="128">
        <f>C25/1.06*0.06*0.12/2</f>
        <v>1895.09433962264</v>
      </c>
      <c r="F25" s="118"/>
      <c r="G25" s="118"/>
      <c r="I25" s="121"/>
      <c r="J25" s="118">
        <v>66707.0851612903</v>
      </c>
      <c r="K25" s="122">
        <f>SUM(E25:J25)</f>
        <v>68602.179500913</v>
      </c>
      <c r="L25" s="118">
        <f>K25/1.06*0.06</f>
        <v>3883.14223590073</v>
      </c>
      <c r="M25" s="122">
        <f>C25-K25-L25</f>
        <v>485514.678263186</v>
      </c>
    </row>
    <row r="26" spans="1:14">
      <c r="A26" s="118" t="s">
        <v>18</v>
      </c>
      <c r="B26" s="118">
        <f>SUM(B25:B25)</f>
        <v>558000</v>
      </c>
      <c r="C26" s="118">
        <f>SUM(C25:C25)</f>
        <v>558000</v>
      </c>
      <c r="D26" s="118">
        <f>SUM(D25:D25)</f>
        <v>0</v>
      </c>
      <c r="E26" s="118">
        <f>SUM(E25:E25)</f>
        <v>1895.09433962264</v>
      </c>
      <c r="F26" s="118">
        <f t="shared" ref="F26:N26" si="3">SUM(F25:F25)</f>
        <v>0</v>
      </c>
      <c r="G26" s="118">
        <f t="shared" si="3"/>
        <v>0</v>
      </c>
      <c r="H26" s="118">
        <f t="shared" si="3"/>
        <v>0</v>
      </c>
      <c r="I26" s="118">
        <f t="shared" si="3"/>
        <v>0</v>
      </c>
      <c r="J26" s="118">
        <f t="shared" si="3"/>
        <v>66707.0851612903</v>
      </c>
      <c r="K26" s="118">
        <f t="shared" si="3"/>
        <v>68602.179500913</v>
      </c>
      <c r="L26" s="118">
        <f t="shared" si="3"/>
        <v>3883.14223590073</v>
      </c>
      <c r="M26" s="118">
        <f t="shared" si="3"/>
        <v>485514.678263186</v>
      </c>
      <c r="N26" s="103">
        <f>M26</f>
        <v>485514.678263186</v>
      </c>
    </row>
    <row r="27" spans="1:14">
      <c r="I27" s="101"/>
    </row>
    <row r="29" ht="29" customHeight="1" spans="1:14">
      <c r="A29" s="107" t="s">
        <v>28</v>
      </c>
      <c r="B29" s="107"/>
      <c r="C29" s="107"/>
      <c r="D29" s="107"/>
      <c r="E29" s="107"/>
      <c r="F29" s="107"/>
      <c r="G29" s="107"/>
      <c r="H29" s="107"/>
      <c r="I29" s="107"/>
      <c r="J29" s="107"/>
      <c r="K29" s="107"/>
      <c r="L29" s="107"/>
      <c r="M29" s="107"/>
    </row>
    <row r="30" ht="28.5" spans="1:14">
      <c r="A30" s="108" t="s">
        <v>1</v>
      </c>
      <c r="B30" s="109" t="s">
        <v>29</v>
      </c>
      <c r="C30" s="108" t="s">
        <v>3</v>
      </c>
      <c r="D30" s="126" t="s">
        <v>4</v>
      </c>
      <c r="E30" s="127"/>
      <c r="F30" s="127"/>
      <c r="G30" s="127"/>
      <c r="H30" s="127"/>
      <c r="I30" s="127"/>
      <c r="J30" s="127"/>
      <c r="K30" s="127"/>
      <c r="L30" s="116"/>
      <c r="M30" s="109" t="s">
        <v>26</v>
      </c>
    </row>
    <row r="31" ht="34.95" customHeight="1" spans="1:14">
      <c r="A31" s="114"/>
      <c r="B31" s="109" t="s">
        <v>30</v>
      </c>
      <c r="C31" s="115"/>
      <c r="D31" s="115" t="s">
        <v>7</v>
      </c>
      <c r="E31" s="109" t="s">
        <v>8</v>
      </c>
      <c r="F31" s="109" t="s">
        <v>9</v>
      </c>
      <c r="G31" s="109" t="s">
        <v>10</v>
      </c>
      <c r="H31" s="109" t="s">
        <v>31</v>
      </c>
      <c r="I31" s="109" t="s">
        <v>12</v>
      </c>
      <c r="J31" s="109" t="s">
        <v>13</v>
      </c>
      <c r="K31" s="116" t="s">
        <v>14</v>
      </c>
      <c r="L31" s="113" t="s">
        <v>21</v>
      </c>
      <c r="M31" s="117" t="s">
        <v>16</v>
      </c>
    </row>
    <row r="32" ht="31.8" customHeight="1" spans="1:14">
      <c r="A32" s="118" t="s">
        <v>17</v>
      </c>
      <c r="B32" s="122">
        <f>'11月日记账'!B41</f>
        <v>350559.75</v>
      </c>
      <c r="C32" s="122">
        <f>B32</f>
        <v>350559.75</v>
      </c>
      <c r="E32" s="130">
        <f>C32/1.06*0.06*0.12/2</f>
        <v>1190.58028301887</v>
      </c>
      <c r="F32" s="131"/>
      <c r="G32" s="118"/>
      <c r="H32" s="118"/>
      <c r="I32" s="118">
        <v>504217.8</v>
      </c>
      <c r="J32" s="118"/>
      <c r="K32" s="132">
        <f>SUM(E32:J32)</f>
        <v>505408.380283019</v>
      </c>
      <c r="L32" s="118">
        <f>K32/1.06*0.06</f>
        <v>28608.0215254539</v>
      </c>
      <c r="M32" s="118">
        <f>C32-K32-L32</f>
        <v>-183456.651808473</v>
      </c>
    </row>
    <row r="33" ht="31.8" customHeight="1" spans="1:14">
      <c r="A33" s="133" t="s">
        <v>18</v>
      </c>
      <c r="B33" s="122">
        <f t="shared" ref="B33:M33" si="4">SUM(B32:B32)</f>
        <v>350559.75</v>
      </c>
      <c r="C33" s="122">
        <f t="shared" si="4"/>
        <v>350559.75</v>
      </c>
      <c r="D33" s="122">
        <f t="shared" si="4"/>
        <v>0</v>
      </c>
      <c r="E33" s="122">
        <f t="shared" si="4"/>
        <v>1190.58028301887</v>
      </c>
      <c r="F33" s="122">
        <f t="shared" si="4"/>
        <v>0</v>
      </c>
      <c r="G33" s="122">
        <f t="shared" si="4"/>
        <v>0</v>
      </c>
      <c r="H33" s="122">
        <f t="shared" si="4"/>
        <v>0</v>
      </c>
      <c r="I33" s="134">
        <f t="shared" si="4"/>
        <v>504217.8</v>
      </c>
      <c r="J33" s="134">
        <f t="shared" si="4"/>
        <v>0</v>
      </c>
      <c r="K33" s="134">
        <f t="shared" si="4"/>
        <v>505408.380283019</v>
      </c>
      <c r="L33" s="134">
        <f t="shared" si="4"/>
        <v>28608.0215254539</v>
      </c>
      <c r="M33" s="134">
        <f t="shared" si="4"/>
        <v>-183456.651808473</v>
      </c>
      <c r="N33" s="103">
        <f>M33</f>
        <v>-183456.651808473</v>
      </c>
    </row>
    <row r="34" ht="31.8" customHeight="1"/>
    <row r="35" customFormat="1" ht="31.8" customHeight="1" spans="1:14">
      <c r="A35" s="107" t="s">
        <v>32</v>
      </c>
      <c r="B35" s="107"/>
      <c r="C35" s="107"/>
      <c r="D35" s="107"/>
      <c r="E35" s="107"/>
      <c r="F35" s="107"/>
      <c r="G35" s="107"/>
      <c r="H35" s="107"/>
      <c r="I35" s="107"/>
      <c r="J35" s="107"/>
      <c r="K35" s="107"/>
      <c r="L35" s="107"/>
      <c r="M35" s="107"/>
      <c r="N35" s="125"/>
    </row>
    <row r="36" customFormat="1" ht="31.8" customHeight="1" spans="1:14">
      <c r="A36" s="108" t="s">
        <v>1</v>
      </c>
      <c r="B36" s="109" t="s">
        <v>29</v>
      </c>
      <c r="C36" s="108" t="s">
        <v>3</v>
      </c>
      <c r="D36" s="126" t="s">
        <v>4</v>
      </c>
      <c r="E36" s="127"/>
      <c r="F36" s="127"/>
      <c r="G36" s="127"/>
      <c r="H36" s="127"/>
      <c r="I36" s="127"/>
      <c r="J36" s="127"/>
      <c r="K36" s="127"/>
      <c r="L36" s="116"/>
      <c r="M36" s="109" t="s">
        <v>26</v>
      </c>
      <c r="N36" s="125"/>
    </row>
    <row r="37" customFormat="1" ht="31.8" customHeight="1" spans="1:14">
      <c r="A37" s="114"/>
      <c r="B37" s="117" t="s">
        <v>33</v>
      </c>
      <c r="C37" s="115"/>
      <c r="D37" s="115" t="s">
        <v>34</v>
      </c>
      <c r="E37" s="109" t="s">
        <v>8</v>
      </c>
      <c r="F37" s="109" t="s">
        <v>9</v>
      </c>
      <c r="G37" s="109" t="s">
        <v>10</v>
      </c>
      <c r="H37" s="109" t="s">
        <v>11</v>
      </c>
      <c r="I37" s="109" t="s">
        <v>12</v>
      </c>
      <c r="J37" s="109" t="s">
        <v>13</v>
      </c>
      <c r="K37" s="116" t="s">
        <v>14</v>
      </c>
      <c r="L37" s="117" t="s">
        <v>21</v>
      </c>
      <c r="M37" s="117" t="s">
        <v>22</v>
      </c>
      <c r="N37" s="125"/>
    </row>
    <row r="38" customFormat="1" ht="31.8" customHeight="1" spans="1:14">
      <c r="A38" s="118" t="s">
        <v>17</v>
      </c>
      <c r="B38" s="118">
        <f>'11月日记账'!B42</f>
        <v>185944.6</v>
      </c>
      <c r="C38" s="118">
        <f>B38</f>
        <v>185944.6</v>
      </c>
      <c r="D38" s="3">
        <f>138754.84+6445.16</f>
        <v>145200</v>
      </c>
      <c r="E38" s="124">
        <f>(C38-D38)/1.05*0.05*0.12/2</f>
        <v>116.413142857143</v>
      </c>
      <c r="F38" s="118"/>
      <c r="G38" s="3"/>
      <c r="H38" s="118"/>
      <c r="I38" s="121">
        <v>145200</v>
      </c>
      <c r="J38" s="118"/>
      <c r="K38" s="122">
        <f>SUM(E38:J38)</f>
        <v>145316.413142857</v>
      </c>
      <c r="L38" s="122">
        <f>(C38-D38)/1.05*0.05</f>
        <v>1940.21904761905</v>
      </c>
      <c r="M38" s="122">
        <f>C38-K38-L38</f>
        <v>38687.967809524</v>
      </c>
      <c r="N38" s="125"/>
    </row>
    <row r="39" customFormat="1" ht="31.8" customHeight="1" spans="1:14">
      <c r="A39" s="118" t="s">
        <v>18</v>
      </c>
      <c r="B39" s="118">
        <f>SUM(B38:B38)</f>
        <v>185944.6</v>
      </c>
      <c r="C39" s="118">
        <f>SUM(C38:C38)</f>
        <v>185944.6</v>
      </c>
      <c r="D39" s="118">
        <f>SUM(D38:D38)</f>
        <v>145200</v>
      </c>
      <c r="E39" s="118">
        <f>SUM(E38:E38)</f>
        <v>116.413142857143</v>
      </c>
      <c r="F39" s="118">
        <f>SUM(F38:F38)</f>
        <v>0</v>
      </c>
      <c r="G39" s="118">
        <f t="shared" ref="F39:N39" si="5">SUM(G38:G38)</f>
        <v>0</v>
      </c>
      <c r="H39" s="118">
        <f t="shared" si="5"/>
        <v>0</v>
      </c>
      <c r="I39" s="118">
        <f t="shared" si="5"/>
        <v>145200</v>
      </c>
      <c r="J39" s="118">
        <f t="shared" si="5"/>
        <v>0</v>
      </c>
      <c r="K39" s="118">
        <f t="shared" si="5"/>
        <v>145316.413142857</v>
      </c>
      <c r="L39" s="118">
        <f t="shared" si="5"/>
        <v>1940.21904761905</v>
      </c>
      <c r="M39" s="118">
        <f t="shared" si="5"/>
        <v>38687.967809524</v>
      </c>
      <c r="N39" s="103">
        <f>M39</f>
        <v>38687.967809524</v>
      </c>
    </row>
    <row r="40" customFormat="1" ht="31.8" customHeight="1" spans="1:14">
      <c r="A40" s="101"/>
      <c r="B40" s="101"/>
      <c r="C40" s="101"/>
      <c r="D40" s="101"/>
      <c r="E40" s="101"/>
      <c r="F40" s="101"/>
      <c r="G40" s="101"/>
      <c r="H40" s="101"/>
      <c r="I40" s="102"/>
      <c r="J40" s="101"/>
      <c r="K40" s="105"/>
      <c r="L40" s="105"/>
      <c r="M40" s="105"/>
      <c r="N40" s="125"/>
    </row>
    <row r="41" customFormat="1" ht="22" customHeight="1" spans="1:14">
      <c r="A41" s="107" t="s">
        <v>35</v>
      </c>
      <c r="B41" s="107"/>
      <c r="C41" s="107"/>
      <c r="D41" s="107"/>
      <c r="E41" s="107"/>
      <c r="F41" s="107"/>
      <c r="G41" s="107"/>
      <c r="H41" s="107"/>
      <c r="I41" s="107"/>
      <c r="J41" s="107"/>
      <c r="K41" s="107"/>
      <c r="L41" s="107"/>
      <c r="M41" s="107"/>
      <c r="N41" s="125"/>
    </row>
    <row r="42" customFormat="1" ht="22" customHeight="1" spans="1:14">
      <c r="A42" s="108" t="s">
        <v>1</v>
      </c>
      <c r="B42" s="109" t="s">
        <v>29</v>
      </c>
      <c r="C42" s="108" t="s">
        <v>3</v>
      </c>
      <c r="D42" s="109" t="s">
        <v>4</v>
      </c>
      <c r="E42" s="109"/>
      <c r="F42" s="109"/>
      <c r="G42" s="109"/>
      <c r="H42" s="109"/>
      <c r="I42" s="109"/>
      <c r="J42" s="109"/>
      <c r="K42" s="109"/>
      <c r="L42" s="109"/>
      <c r="M42" s="109" t="s">
        <v>26</v>
      </c>
      <c r="N42" s="125"/>
    </row>
    <row r="43" customFormat="1" ht="22" customHeight="1" spans="1:14">
      <c r="A43" s="114"/>
      <c r="B43" s="117" t="s">
        <v>33</v>
      </c>
      <c r="C43" s="115"/>
      <c r="D43" s="115" t="s">
        <v>7</v>
      </c>
      <c r="E43" s="109" t="s">
        <v>8</v>
      </c>
      <c r="F43" s="115" t="s">
        <v>9</v>
      </c>
      <c r="G43" s="115" t="s">
        <v>10</v>
      </c>
      <c r="H43" s="115" t="s">
        <v>11</v>
      </c>
      <c r="I43" s="115" t="s">
        <v>12</v>
      </c>
      <c r="J43" s="109" t="s">
        <v>13</v>
      </c>
      <c r="K43" s="129" t="s">
        <v>14</v>
      </c>
      <c r="L43" s="114" t="s">
        <v>21</v>
      </c>
      <c r="M43" s="117" t="s">
        <v>16</v>
      </c>
      <c r="N43" s="125"/>
    </row>
    <row r="44" customFormat="1" ht="22" customHeight="1" spans="1:14">
      <c r="A44" s="118" t="s">
        <v>17</v>
      </c>
      <c r="B44" s="135">
        <f>'11月日记账'!B43</f>
        <v>152500</v>
      </c>
      <c r="C44" s="135">
        <f>B44</f>
        <v>152500</v>
      </c>
      <c r="E44" s="130">
        <f>C44/1.06*0.06*0.12/2</f>
        <v>517.924528301887</v>
      </c>
      <c r="F44" s="118"/>
      <c r="G44" s="118"/>
      <c r="H44" s="118"/>
      <c r="I44" s="121"/>
      <c r="J44" s="118"/>
      <c r="K44" s="122">
        <f>SUM(E44:J44)</f>
        <v>517.924528301887</v>
      </c>
      <c r="L44" s="122">
        <f>K44/1.06*0.06</f>
        <v>29.3164827340691</v>
      </c>
      <c r="M44" s="122">
        <f>C44-K44-L44</f>
        <v>151952.758988964</v>
      </c>
      <c r="N44" s="125"/>
    </row>
    <row r="45" customFormat="1" ht="22" customHeight="1" spans="1:14">
      <c r="A45" s="118" t="s">
        <v>18</v>
      </c>
      <c r="B45" s="118">
        <f t="shared" ref="B45:N45" si="6">SUM(B44:B44)</f>
        <v>152500</v>
      </c>
      <c r="C45" s="118">
        <f t="shared" si="6"/>
        <v>152500</v>
      </c>
      <c r="D45" s="118">
        <f t="shared" si="6"/>
        <v>0</v>
      </c>
      <c r="E45" s="118">
        <f t="shared" si="6"/>
        <v>517.924528301887</v>
      </c>
      <c r="F45" s="118">
        <f t="shared" si="6"/>
        <v>0</v>
      </c>
      <c r="G45" s="118">
        <f t="shared" si="6"/>
        <v>0</v>
      </c>
      <c r="H45" s="118">
        <f t="shared" si="6"/>
        <v>0</v>
      </c>
      <c r="I45" s="118">
        <f t="shared" si="6"/>
        <v>0</v>
      </c>
      <c r="J45" s="118">
        <f t="shared" si="6"/>
        <v>0</v>
      </c>
      <c r="K45" s="118">
        <f t="shared" si="6"/>
        <v>517.924528301887</v>
      </c>
      <c r="L45" s="118">
        <f t="shared" si="6"/>
        <v>29.3164827340691</v>
      </c>
      <c r="M45" s="118">
        <f t="shared" si="6"/>
        <v>151952.758988964</v>
      </c>
      <c r="N45" s="125">
        <f>M45</f>
        <v>151952.758988964</v>
      </c>
    </row>
    <row r="46" customFormat="1" ht="31.8" customHeight="1" spans="1:14">
      <c r="A46" s="101"/>
      <c r="B46" s="101"/>
      <c r="C46" s="101"/>
      <c r="D46" s="101"/>
      <c r="E46" s="101"/>
      <c r="F46" s="101"/>
      <c r="G46" s="101"/>
      <c r="H46" s="101"/>
      <c r="I46" s="102"/>
      <c r="J46" s="101"/>
      <c r="K46" s="105"/>
      <c r="L46" s="105"/>
      <c r="M46" s="105"/>
      <c r="N46" s="125"/>
    </row>
    <row r="47" customFormat="1" ht="22" customHeight="1" spans="1:14">
      <c r="A47" s="107" t="s">
        <v>36</v>
      </c>
      <c r="B47" s="107"/>
      <c r="C47" s="107"/>
      <c r="D47" s="107"/>
      <c r="E47" s="107"/>
      <c r="F47" s="107"/>
      <c r="G47" s="107"/>
      <c r="H47" s="107"/>
      <c r="I47" s="107"/>
      <c r="J47" s="107"/>
      <c r="K47" s="107"/>
      <c r="L47" s="107"/>
      <c r="M47" s="107"/>
      <c r="N47" s="125"/>
    </row>
    <row r="48" customFormat="1" ht="22" customHeight="1" spans="1:14">
      <c r="A48" s="108" t="s">
        <v>1</v>
      </c>
      <c r="B48" s="109" t="s">
        <v>29</v>
      </c>
      <c r="C48" s="108" t="s">
        <v>3</v>
      </c>
      <c r="D48" s="109" t="s">
        <v>4</v>
      </c>
      <c r="E48" s="109"/>
      <c r="F48" s="109"/>
      <c r="G48" s="109"/>
      <c r="H48" s="109"/>
      <c r="I48" s="109"/>
      <c r="J48" s="109"/>
      <c r="K48" s="109"/>
      <c r="L48" s="109"/>
      <c r="M48" s="109" t="s">
        <v>26</v>
      </c>
      <c r="N48" s="125"/>
    </row>
    <row r="49" customFormat="1" ht="22" customHeight="1" spans="1:14">
      <c r="A49" s="114"/>
      <c r="B49" s="117" t="s">
        <v>37</v>
      </c>
      <c r="C49" s="115"/>
      <c r="D49" s="115" t="s">
        <v>7</v>
      </c>
      <c r="E49" s="109" t="s">
        <v>8</v>
      </c>
      <c r="F49" s="115" t="s">
        <v>9</v>
      </c>
      <c r="G49" s="115" t="s">
        <v>10</v>
      </c>
      <c r="H49" s="115" t="s">
        <v>11</v>
      </c>
      <c r="I49" s="115" t="s">
        <v>12</v>
      </c>
      <c r="J49" s="109" t="s">
        <v>13</v>
      </c>
      <c r="K49" s="129" t="s">
        <v>14</v>
      </c>
      <c r="L49" s="114" t="s">
        <v>21</v>
      </c>
      <c r="M49" s="117" t="s">
        <v>16</v>
      </c>
      <c r="N49" s="125"/>
    </row>
    <row r="50" customFormat="1" ht="22" customHeight="1" spans="1:14">
      <c r="A50" s="118" t="s">
        <v>17</v>
      </c>
      <c r="B50" s="135">
        <f>'11月日记账'!B46</f>
        <v>825084.32</v>
      </c>
      <c r="C50" s="135">
        <f>B50</f>
        <v>825084.32</v>
      </c>
      <c r="E50" s="130">
        <f>C50/1.06*0.06*0.12/2</f>
        <v>2802.17316226415</v>
      </c>
      <c r="F50" s="118"/>
      <c r="G50" s="118"/>
      <c r="H50" s="118"/>
      <c r="I50" s="121"/>
      <c r="J50" s="118"/>
      <c r="K50" s="122">
        <f>SUM(E50:J50)</f>
        <v>2802.17316226415</v>
      </c>
      <c r="L50" s="122">
        <f>K50/1.06*0.06</f>
        <v>158.613575222499</v>
      </c>
      <c r="M50" s="122">
        <f>C50-K50-L50</f>
        <v>822123.533262513</v>
      </c>
      <c r="N50" s="125"/>
    </row>
    <row r="51" customFormat="1" ht="22" customHeight="1" spans="1:14">
      <c r="A51" s="118" t="s">
        <v>18</v>
      </c>
      <c r="B51" s="118">
        <f t="shared" ref="B51:M51" si="7">SUM(B50:B50)</f>
        <v>825084.32</v>
      </c>
      <c r="C51" s="118">
        <f t="shared" si="7"/>
        <v>825084.32</v>
      </c>
      <c r="D51" s="118">
        <f t="shared" si="7"/>
        <v>0</v>
      </c>
      <c r="E51" s="118">
        <f t="shared" si="7"/>
        <v>2802.17316226415</v>
      </c>
      <c r="F51" s="118">
        <f t="shared" si="7"/>
        <v>0</v>
      </c>
      <c r="G51" s="118">
        <f t="shared" si="7"/>
        <v>0</v>
      </c>
      <c r="H51" s="118">
        <f t="shared" si="7"/>
        <v>0</v>
      </c>
      <c r="I51" s="118">
        <f t="shared" si="7"/>
        <v>0</v>
      </c>
      <c r="J51" s="118">
        <f t="shared" si="7"/>
        <v>0</v>
      </c>
      <c r="K51" s="118">
        <f t="shared" si="7"/>
        <v>2802.17316226415</v>
      </c>
      <c r="L51" s="118">
        <f t="shared" si="7"/>
        <v>158.613575222499</v>
      </c>
      <c r="M51" s="118">
        <f t="shared" si="7"/>
        <v>822123.533262513</v>
      </c>
      <c r="N51" s="125">
        <f>M51</f>
        <v>822123.533262513</v>
      </c>
    </row>
    <row r="52" customFormat="1" ht="31.8" customHeight="1" spans="1:14">
      <c r="A52" s="101"/>
      <c r="B52" s="101"/>
      <c r="C52" s="101"/>
      <c r="D52" s="101"/>
      <c r="E52" s="101"/>
      <c r="F52" s="101"/>
      <c r="G52" s="101"/>
      <c r="H52" s="101"/>
      <c r="I52" s="101"/>
      <c r="J52" s="101"/>
      <c r="K52" s="101"/>
      <c r="L52" s="101"/>
      <c r="M52" s="101"/>
      <c r="N52" s="125"/>
    </row>
    <row r="53" ht="22" customHeight="1" spans="1:14">
      <c r="A53" s="107" t="s">
        <v>38</v>
      </c>
      <c r="B53" s="107"/>
      <c r="C53" s="107"/>
      <c r="D53" s="107"/>
      <c r="E53" s="107"/>
      <c r="F53" s="107"/>
      <c r="G53" s="107"/>
      <c r="H53" s="107"/>
      <c r="I53" s="107"/>
      <c r="J53" s="107"/>
      <c r="K53" s="107"/>
      <c r="L53" s="107"/>
      <c r="M53" s="107"/>
    </row>
    <row r="54" ht="28.5" spans="1:14">
      <c r="A54" s="108" t="s">
        <v>1</v>
      </c>
      <c r="B54" s="109" t="s">
        <v>29</v>
      </c>
      <c r="C54" s="108" t="s">
        <v>3</v>
      </c>
      <c r="D54" s="109" t="s">
        <v>4</v>
      </c>
      <c r="E54" s="109"/>
      <c r="F54" s="109"/>
      <c r="G54" s="109"/>
      <c r="H54" s="109"/>
      <c r="I54" s="109"/>
      <c r="J54" s="109"/>
      <c r="K54" s="109"/>
      <c r="L54" s="109"/>
      <c r="M54" s="109" t="s">
        <v>26</v>
      </c>
    </row>
    <row r="55" ht="42.75" spans="1:14">
      <c r="A55" s="114"/>
      <c r="B55" s="117" t="s">
        <v>39</v>
      </c>
      <c r="C55" s="115"/>
      <c r="D55" s="115" t="s">
        <v>7</v>
      </c>
      <c r="E55" s="109" t="s">
        <v>8</v>
      </c>
      <c r="F55" s="115" t="s">
        <v>9</v>
      </c>
      <c r="G55" s="115" t="s">
        <v>10</v>
      </c>
      <c r="H55" s="115" t="s">
        <v>11</v>
      </c>
      <c r="I55" s="115" t="s">
        <v>12</v>
      </c>
      <c r="J55" s="109" t="s">
        <v>13</v>
      </c>
      <c r="K55" s="129" t="s">
        <v>14</v>
      </c>
      <c r="L55" s="114" t="s">
        <v>21</v>
      </c>
      <c r="M55" s="117" t="s">
        <v>16</v>
      </c>
    </row>
    <row r="56" ht="21" customHeight="1" spans="1:14">
      <c r="A56" s="118" t="s">
        <v>17</v>
      </c>
      <c r="B56" s="135">
        <f>'11月日记账'!B45</f>
        <v>164920</v>
      </c>
      <c r="C56" s="135">
        <f>B56</f>
        <v>164920</v>
      </c>
      <c r="E56" s="128">
        <f>C56/1.06*0.06*0.12/2</f>
        <v>560.105660377359</v>
      </c>
      <c r="F56" s="118"/>
      <c r="G56" s="118"/>
      <c r="H56" s="118"/>
      <c r="I56" s="121"/>
      <c r="J56" s="118"/>
      <c r="K56" s="122">
        <f>SUM(E56:J56)</f>
        <v>560.105660377359</v>
      </c>
      <c r="L56" s="122">
        <f>K56/1.06*0.06</f>
        <v>31.7040939836241</v>
      </c>
      <c r="M56" s="122">
        <f>C56-K56-L56</f>
        <v>164328.190245639</v>
      </c>
    </row>
    <row r="57" ht="21" customHeight="1" spans="1:14">
      <c r="A57" s="118" t="s">
        <v>18</v>
      </c>
      <c r="B57" s="118">
        <f>SUM(B56:B56)</f>
        <v>164920</v>
      </c>
      <c r="C57" s="118">
        <f>SUM(C56:C56)</f>
        <v>164920</v>
      </c>
      <c r="D57" s="118">
        <f>SUM(D56:D56)</f>
        <v>0</v>
      </c>
      <c r="E57" s="118">
        <f>SUM(E56:E56)</f>
        <v>560.105660377359</v>
      </c>
      <c r="F57" s="118">
        <f t="shared" ref="F57:N57" si="8">SUM(F56:F56)</f>
        <v>0</v>
      </c>
      <c r="G57" s="118">
        <f t="shared" si="8"/>
        <v>0</v>
      </c>
      <c r="H57" s="118">
        <f t="shared" si="8"/>
        <v>0</v>
      </c>
      <c r="I57" s="118">
        <f t="shared" si="8"/>
        <v>0</v>
      </c>
      <c r="J57" s="118">
        <f t="shared" si="8"/>
        <v>0</v>
      </c>
      <c r="K57" s="118">
        <f t="shared" si="8"/>
        <v>560.105660377359</v>
      </c>
      <c r="L57" s="118">
        <f t="shared" si="8"/>
        <v>31.7040939836241</v>
      </c>
      <c r="M57" s="118">
        <f t="shared" si="8"/>
        <v>164328.190245639</v>
      </c>
      <c r="N57" s="103">
        <f>M57</f>
        <v>164328.190245639</v>
      </c>
    </row>
    <row r="58" customFormat="1" ht="17" customHeight="1" spans="1:14">
      <c r="G58" s="3"/>
      <c r="N58" s="125"/>
    </row>
    <row r="59" s="100" customFormat="1" ht="40" customHeight="1" spans="1:14">
      <c r="A59" s="136" t="s">
        <v>40</v>
      </c>
      <c r="B59" s="136"/>
      <c r="C59" s="136">
        <f>C5+C18+C25+C32+C38+C56+C50+C11+C44</f>
        <v>3725333.94</v>
      </c>
      <c r="D59" s="136">
        <f t="shared" ref="D59:N59" si="9">D5+D18+D25+D32+D38+D56+D50+D11+D44</f>
        <v>162246</v>
      </c>
      <c r="E59" s="136">
        <f t="shared" si="9"/>
        <v>9470.33704150943</v>
      </c>
      <c r="F59" s="136">
        <f t="shared" si="9"/>
        <v>60149</v>
      </c>
      <c r="G59" s="136">
        <f t="shared" si="9"/>
        <v>0</v>
      </c>
      <c r="H59" s="136">
        <f t="shared" si="9"/>
        <v>208.25</v>
      </c>
      <c r="I59" s="136">
        <f t="shared" si="9"/>
        <v>649417.8</v>
      </c>
      <c r="J59" s="136">
        <f t="shared" si="9"/>
        <v>66707.0851612903</v>
      </c>
      <c r="K59" s="136">
        <f t="shared" si="9"/>
        <v>785952.4722028</v>
      </c>
      <c r="L59" s="136">
        <f t="shared" si="9"/>
        <v>37374.9769320678</v>
      </c>
      <c r="M59" s="136">
        <f t="shared" si="9"/>
        <v>2119533.79086513</v>
      </c>
      <c r="N59" s="103"/>
    </row>
    <row r="60" ht="55" customHeight="1" spans="1:14">
      <c r="A60" s="137" t="s">
        <v>41</v>
      </c>
      <c r="B60" s="137"/>
      <c r="C60" s="137"/>
      <c r="D60" s="137"/>
      <c r="E60" s="137"/>
      <c r="F60" s="137"/>
      <c r="G60" s="138"/>
      <c r="H60" s="137"/>
      <c r="I60" s="137"/>
      <c r="K60" s="118" t="s">
        <v>42</v>
      </c>
      <c r="L60" s="118">
        <f>D6+C19+C26+C33+C39+C57+C51+C11+C45</f>
        <v>2942861.24</v>
      </c>
    </row>
    <row r="61" spans="1:14">
      <c r="A61" s="139" t="s">
        <v>43</v>
      </c>
      <c r="B61" s="139"/>
      <c r="C61" s="139"/>
      <c r="D61" s="139"/>
      <c r="E61" s="139"/>
      <c r="F61" s="139"/>
      <c r="G61" s="139"/>
      <c r="K61" s="118" t="s">
        <v>44</v>
      </c>
      <c r="L61" s="118">
        <f>K59+L59</f>
        <v>823327.449134868</v>
      </c>
    </row>
    <row r="62" spans="1:14">
      <c r="A62" s="139"/>
      <c r="B62" s="139"/>
      <c r="C62" s="139"/>
      <c r="D62" s="139"/>
      <c r="E62" s="139"/>
      <c r="F62" s="139"/>
      <c r="G62" s="139"/>
      <c r="K62" s="118"/>
      <c r="L62" s="118"/>
    </row>
    <row r="63" ht="28" customHeight="1" spans="1:14">
      <c r="A63" s="139" t="s">
        <v>45</v>
      </c>
      <c r="B63" s="139"/>
      <c r="C63" s="139"/>
      <c r="D63" s="139"/>
      <c r="E63" s="139"/>
      <c r="F63" s="139"/>
      <c r="G63" s="139"/>
      <c r="K63" s="118"/>
      <c r="L63" s="118"/>
    </row>
    <row r="66" ht="27" customHeight="1" spans="1:12">
      <c r="K66" s="121" t="s">
        <v>46</v>
      </c>
      <c r="L66" s="118">
        <f>M59</f>
        <v>2119533.79086513</v>
      </c>
    </row>
    <row r="67" ht="27" customHeight="1" spans="1:12">
      <c r="A67" s="140"/>
      <c r="B67" s="140"/>
      <c r="C67" s="140"/>
      <c r="D67" s="140"/>
      <c r="E67" s="140"/>
      <c r="F67" s="140"/>
      <c r="G67" s="140"/>
      <c r="K67" s="121" t="s">
        <v>47</v>
      </c>
      <c r="L67" s="118">
        <v>2000000</v>
      </c>
    </row>
    <row r="68" ht="27" customHeight="1" spans="1:12">
      <c r="A68" s="102"/>
      <c r="B68" s="102"/>
      <c r="C68" s="102"/>
      <c r="D68" s="102"/>
      <c r="E68" s="102"/>
      <c r="F68" s="102"/>
      <c r="G68" s="102"/>
      <c r="H68" s="102"/>
      <c r="K68" s="121" t="s">
        <v>48</v>
      </c>
      <c r="L68" s="118">
        <f>L66-L67</f>
        <v>119533.79086513</v>
      </c>
    </row>
    <row r="69" ht="27" customHeight="1" spans="1:12">
      <c r="A69" s="102"/>
      <c r="B69" s="102"/>
      <c r="C69" s="102"/>
      <c r="D69" s="102"/>
      <c r="E69" s="102"/>
      <c r="F69" s="102"/>
      <c r="G69" s="102"/>
      <c r="H69" s="102"/>
      <c r="K69" s="121" t="s">
        <v>49</v>
      </c>
      <c r="L69" s="118">
        <f>L68</f>
        <v>119533.79086513</v>
      </c>
    </row>
    <row r="70" spans="1:12">
      <c r="A70" s="102"/>
      <c r="B70" s="102"/>
      <c r="C70" s="102"/>
      <c r="D70" s="102"/>
      <c r="E70" s="102"/>
      <c r="F70" s="102"/>
      <c r="G70" s="102"/>
      <c r="H70" s="102"/>
    </row>
    <row r="71" spans="1:12">
      <c r="A71" s="102"/>
      <c r="B71" s="102"/>
      <c r="C71" s="102"/>
      <c r="D71" s="102"/>
      <c r="E71" s="102"/>
      <c r="F71" s="102"/>
      <c r="G71" s="102"/>
      <c r="H71" s="102"/>
    </row>
  </sheetData>
  <mergeCells count="41">
    <mergeCell ref="A2:M2"/>
    <mergeCell ref="E3:K3"/>
    <mergeCell ref="A8:M8"/>
    <mergeCell ref="D9:L9"/>
    <mergeCell ref="A15:M15"/>
    <mergeCell ref="D16:L16"/>
    <mergeCell ref="A22:M22"/>
    <mergeCell ref="D23:L23"/>
    <mergeCell ref="A29:M29"/>
    <mergeCell ref="D30:L30"/>
    <mergeCell ref="A35:M35"/>
    <mergeCell ref="D36:L36"/>
    <mergeCell ref="A41:M41"/>
    <mergeCell ref="D42:L42"/>
    <mergeCell ref="A47:M47"/>
    <mergeCell ref="D48:L48"/>
    <mergeCell ref="A53:M53"/>
    <mergeCell ref="D54:L54"/>
    <mergeCell ref="A60:I60"/>
    <mergeCell ref="A63:G63"/>
    <mergeCell ref="A3:A4"/>
    <mergeCell ref="A9:A10"/>
    <mergeCell ref="A16:A17"/>
    <mergeCell ref="A23:A24"/>
    <mergeCell ref="A30:A31"/>
    <mergeCell ref="A36:A37"/>
    <mergeCell ref="A42:A43"/>
    <mergeCell ref="A48:A49"/>
    <mergeCell ref="A54:A55"/>
    <mergeCell ref="C3:C4"/>
    <mergeCell ref="C9:C10"/>
    <mergeCell ref="C16:C17"/>
    <mergeCell ref="C23:C24"/>
    <mergeCell ref="C30:C31"/>
    <mergeCell ref="C36:C37"/>
    <mergeCell ref="C42:C43"/>
    <mergeCell ref="C48:C49"/>
    <mergeCell ref="C54:C55"/>
    <mergeCell ref="K61:K63"/>
    <mergeCell ref="L61:L63"/>
    <mergeCell ref="A61:G62"/>
  </mergeCells>
  <pageMargins left="0.75" right="0.75" top="1" bottom="1" header="0.5" footer="0.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H30" sqref="H30"/>
    </sheetView>
  </sheetViews>
  <sheetFormatPr defaultColWidth="9" defaultRowHeight="13.5"/>
  <cols>
    <col min="1" max="1" width="13" customWidth="1"/>
    <col min="2" max="2" width="24.75" customWidth="1"/>
    <col min="3" max="3" width="24.75" style="68" customWidth="1"/>
    <col min="4" max="4" width="23.25" style="69" customWidth="1"/>
    <col min="6" max="6" width="10" customWidth="1"/>
    <col min="7" max="7" width="11.5"/>
    <col min="8" max="8" width="13.125" customWidth="1"/>
    <col min="12" max="12" width="10.375"/>
  </cols>
  <sheetData>
    <row r="1" ht="43" customHeight="1" spans="1:12">
      <c r="A1" s="70" t="s">
        <v>50</v>
      </c>
      <c r="B1" s="71"/>
      <c r="C1" s="72"/>
      <c r="D1" s="72"/>
      <c r="E1" s="71"/>
      <c r="F1" s="71"/>
      <c r="G1" s="73"/>
    </row>
    <row r="2" ht="43" customHeight="1" spans="1:12">
      <c r="A2" s="74" t="s">
        <v>51</v>
      </c>
      <c r="B2" s="75" t="s">
        <v>52</v>
      </c>
      <c r="C2" s="76" t="s">
        <v>53</v>
      </c>
      <c r="D2" s="77"/>
      <c r="E2" s="74" t="s">
        <v>54</v>
      </c>
      <c r="F2" s="78" t="s">
        <v>55</v>
      </c>
      <c r="G2" s="78" t="s">
        <v>56</v>
      </c>
    </row>
    <row r="3" ht="43" customHeight="1" spans="1:12">
      <c r="A3" s="74"/>
      <c r="B3" s="75"/>
      <c r="C3" s="79" t="s">
        <v>57</v>
      </c>
      <c r="D3" s="80" t="s">
        <v>58</v>
      </c>
      <c r="E3" s="74"/>
      <c r="F3" s="81"/>
      <c r="G3" s="81"/>
    </row>
    <row r="4" ht="24" customHeight="1" spans="1:12">
      <c r="A4" s="21"/>
      <c r="B4" s="21" t="s">
        <v>59</v>
      </c>
      <c r="C4" s="82">
        <v>219175.81</v>
      </c>
      <c r="D4" s="83">
        <v>45966</v>
      </c>
      <c r="E4" s="21"/>
      <c r="F4" s="22" t="s">
        <v>60</v>
      </c>
      <c r="G4" s="21">
        <v>5782</v>
      </c>
      <c r="H4" s="3">
        <f>G4+G5+G7+G8+G6</f>
        <v>17046</v>
      </c>
    </row>
    <row r="5" ht="24" customHeight="1" spans="1:12">
      <c r="A5" s="21"/>
      <c r="B5" s="21"/>
      <c r="C5" s="82">
        <v>96632.6</v>
      </c>
      <c r="D5" s="83">
        <v>45967</v>
      </c>
      <c r="E5" s="21"/>
      <c r="F5" s="31"/>
      <c r="G5" s="21">
        <v>2288</v>
      </c>
      <c r="H5" s="3"/>
    </row>
    <row r="6" ht="24" customHeight="1" spans="1:12">
      <c r="A6" s="21"/>
      <c r="B6" s="21"/>
      <c r="C6" s="84">
        <v>39183.14</v>
      </c>
      <c r="D6" s="83">
        <v>45986.5354166667</v>
      </c>
      <c r="E6" s="21"/>
      <c r="F6" s="31"/>
      <c r="G6" s="21">
        <v>616</v>
      </c>
      <c r="H6" s="3"/>
    </row>
    <row r="7" ht="24" customHeight="1" spans="1:12">
      <c r="A7" s="21"/>
      <c r="B7" s="21"/>
      <c r="C7" s="84">
        <v>117157.31</v>
      </c>
      <c r="D7" s="83">
        <v>45986.5354166667</v>
      </c>
      <c r="E7" s="21"/>
      <c r="F7" s="31"/>
      <c r="G7" s="21">
        <v>2552</v>
      </c>
      <c r="H7" s="3"/>
      <c r="L7" s="85"/>
    </row>
    <row r="8" ht="24" customHeight="1" spans="1:12">
      <c r="A8" s="21"/>
      <c r="B8" s="21"/>
      <c r="C8" s="86">
        <v>327369.84</v>
      </c>
      <c r="D8" s="83">
        <v>45987.4631944444</v>
      </c>
      <c r="E8" s="21"/>
      <c r="F8" s="31"/>
      <c r="G8" s="21">
        <v>5808</v>
      </c>
      <c r="H8" s="3"/>
      <c r="L8" s="85"/>
    </row>
    <row r="9" ht="24" customHeight="1" spans="1:12">
      <c r="A9" s="21"/>
      <c r="B9" s="78" t="s">
        <v>61</v>
      </c>
      <c r="C9" s="87">
        <v>16910.22</v>
      </c>
      <c r="D9" s="83">
        <v>45980.4472222222</v>
      </c>
      <c r="E9" s="21"/>
      <c r="F9" s="31"/>
      <c r="G9" s="78">
        <f>C9+C10+C11+C12</f>
        <v>657405.26</v>
      </c>
      <c r="H9" s="3"/>
    </row>
    <row r="10" ht="24" customHeight="1" spans="1:12">
      <c r="A10" s="21"/>
      <c r="B10" s="88"/>
      <c r="C10" s="87">
        <v>11273.48</v>
      </c>
      <c r="D10" s="83">
        <v>45980.4486111111</v>
      </c>
      <c r="E10" s="21"/>
      <c r="F10" s="31"/>
      <c r="G10" s="88"/>
      <c r="H10" s="3"/>
    </row>
    <row r="11" ht="24" customHeight="1" spans="1:12">
      <c r="A11" s="21"/>
      <c r="B11" s="88"/>
      <c r="C11" s="89">
        <v>572157</v>
      </c>
      <c r="D11" s="83">
        <v>45982.4944444444</v>
      </c>
      <c r="E11" s="21"/>
      <c r="F11" s="31"/>
      <c r="G11" s="88"/>
      <c r="H11" s="3"/>
    </row>
    <row r="12" ht="24" customHeight="1" spans="1:12">
      <c r="A12" s="21"/>
      <c r="B12" s="81"/>
      <c r="C12" s="90">
        <v>57064.56</v>
      </c>
      <c r="D12" s="91">
        <v>45989</v>
      </c>
      <c r="E12" s="21"/>
      <c r="F12" s="31"/>
      <c r="G12" s="81"/>
      <c r="H12" s="3"/>
    </row>
    <row r="13" ht="24" customHeight="1" spans="1:12">
      <c r="A13" s="21"/>
      <c r="B13" s="21" t="s">
        <v>62</v>
      </c>
      <c r="C13" s="92">
        <v>558000</v>
      </c>
      <c r="D13" s="93">
        <v>45974</v>
      </c>
      <c r="E13" s="21"/>
      <c r="F13" s="31"/>
      <c r="G13" s="21">
        <f>C13</f>
        <v>558000</v>
      </c>
      <c r="H13" s="3"/>
    </row>
    <row r="14" ht="24" customHeight="1" spans="1:12">
      <c r="A14" s="21"/>
      <c r="B14" s="21" t="s">
        <v>63</v>
      </c>
      <c r="C14" s="94">
        <v>31401.31</v>
      </c>
      <c r="D14" s="83">
        <v>45967</v>
      </c>
      <c r="E14" s="21"/>
      <c r="F14" s="36"/>
      <c r="G14" s="21">
        <f>C14</f>
        <v>31401.31</v>
      </c>
    </row>
    <row r="15" ht="24" customHeight="1" spans="1:12">
      <c r="A15" s="21"/>
      <c r="B15" s="78" t="s">
        <v>64</v>
      </c>
      <c r="C15" s="87">
        <v>275500</v>
      </c>
      <c r="D15" s="91">
        <v>45979</v>
      </c>
      <c r="E15" s="21"/>
      <c r="F15" s="95" t="s">
        <v>65</v>
      </c>
      <c r="G15" s="78">
        <f>C15+C16+C17</f>
        <v>350559.75</v>
      </c>
    </row>
    <row r="16" ht="24" customHeight="1" spans="1:12">
      <c r="A16" s="21"/>
      <c r="B16" s="88"/>
      <c r="C16" s="96">
        <v>18027.15</v>
      </c>
      <c r="D16" s="93">
        <v>45972</v>
      </c>
      <c r="E16" s="21"/>
      <c r="F16" s="95"/>
      <c r="G16" s="88"/>
    </row>
    <row r="17" ht="24" customHeight="1" spans="1:7">
      <c r="A17" s="21"/>
      <c r="B17" s="88"/>
      <c r="C17" s="94">
        <v>57032.6</v>
      </c>
      <c r="D17" s="83">
        <v>45966</v>
      </c>
      <c r="E17" s="21"/>
      <c r="F17" s="95"/>
      <c r="G17" s="81"/>
    </row>
    <row r="18" ht="24" customHeight="1" spans="1:7">
      <c r="A18" s="21"/>
      <c r="B18" s="78" t="s">
        <v>66</v>
      </c>
      <c r="C18" s="97">
        <v>412542.16</v>
      </c>
      <c r="D18" s="83">
        <v>45966</v>
      </c>
      <c r="E18" s="21"/>
      <c r="F18" s="95"/>
      <c r="G18" s="88">
        <f>C18+C19</f>
        <v>825084.32</v>
      </c>
    </row>
    <row r="19" ht="24" customHeight="1" spans="1:7">
      <c r="A19" s="21"/>
      <c r="B19" s="81"/>
      <c r="C19" s="97">
        <v>412542.16</v>
      </c>
      <c r="D19" s="83">
        <v>45968</v>
      </c>
      <c r="E19" s="21"/>
      <c r="F19" s="95"/>
      <c r="G19" s="81"/>
    </row>
    <row r="20" ht="24" customHeight="1" spans="1:7">
      <c r="A20" s="21"/>
      <c r="B20" s="78" t="s">
        <v>67</v>
      </c>
      <c r="C20" s="98">
        <v>152500</v>
      </c>
      <c r="D20" s="91">
        <v>45971</v>
      </c>
      <c r="E20" s="21"/>
      <c r="F20" s="95"/>
      <c r="G20" s="78">
        <f>C20</f>
        <v>152500</v>
      </c>
    </row>
    <row r="21" ht="24" customHeight="1" spans="1:7">
      <c r="A21" s="21"/>
      <c r="B21" s="78" t="s">
        <v>68</v>
      </c>
      <c r="C21" s="96">
        <v>15048</v>
      </c>
      <c r="D21" s="91">
        <v>45971</v>
      </c>
      <c r="E21" s="21"/>
      <c r="F21" s="95"/>
      <c r="G21" s="78">
        <f>C21+C22</f>
        <v>185944.6</v>
      </c>
    </row>
    <row r="22" ht="24" customHeight="1" spans="1:7">
      <c r="A22" s="21"/>
      <c r="B22" s="81"/>
      <c r="C22" s="99">
        <v>170896.6</v>
      </c>
      <c r="D22" s="93">
        <v>45973</v>
      </c>
      <c r="E22" s="21"/>
      <c r="F22" s="95"/>
      <c r="G22" s="81"/>
    </row>
    <row r="23" ht="24" customHeight="1" spans="1:7">
      <c r="A23" s="21"/>
      <c r="B23" s="88" t="s">
        <v>69</v>
      </c>
      <c r="C23" s="87">
        <v>68710</v>
      </c>
      <c r="D23" s="91">
        <v>45980</v>
      </c>
      <c r="E23" s="21"/>
      <c r="F23" s="95"/>
      <c r="G23" s="88">
        <f>C23+C25+C24</f>
        <v>164920</v>
      </c>
    </row>
    <row r="24" ht="24" customHeight="1" spans="1:7">
      <c r="A24" s="21"/>
      <c r="B24" s="88"/>
      <c r="C24" s="87">
        <v>68710</v>
      </c>
      <c r="D24" s="91">
        <v>45964</v>
      </c>
      <c r="E24" s="21"/>
      <c r="F24" s="95"/>
      <c r="G24" s="88"/>
    </row>
    <row r="25" ht="24" customHeight="1" spans="1:7">
      <c r="A25" s="21"/>
      <c r="B25" s="81"/>
      <c r="C25" s="87">
        <v>27500</v>
      </c>
      <c r="D25" s="91">
        <v>45978</v>
      </c>
      <c r="E25" s="21"/>
      <c r="F25" s="95"/>
      <c r="G25" s="81"/>
    </row>
    <row r="26" ht="24" customHeight="1" spans="1:7">
      <c r="C26" s="68">
        <f>SUM(C4:C25)</f>
        <v>3725333.94</v>
      </c>
      <c r="F26" s="3"/>
      <c r="G26">
        <f>SUM(G4:G23)</f>
        <v>2942861.24</v>
      </c>
    </row>
  </sheetData>
  <mergeCells count="21">
    <mergeCell ref="A1:G1"/>
    <mergeCell ref="C2:D2"/>
    <mergeCell ref="A2:A3"/>
    <mergeCell ref="B2:B3"/>
    <mergeCell ref="B4:B8"/>
    <mergeCell ref="B9:B12"/>
    <mergeCell ref="B15:B17"/>
    <mergeCell ref="B18:B19"/>
    <mergeCell ref="B21:B22"/>
    <mergeCell ref="B23:B25"/>
    <mergeCell ref="E2:E3"/>
    <mergeCell ref="F2:F3"/>
    <mergeCell ref="F4:F14"/>
    <mergeCell ref="F15:F25"/>
    <mergeCell ref="G2:G3"/>
    <mergeCell ref="G9:G12"/>
    <mergeCell ref="G15:G17"/>
    <mergeCell ref="G18:G19"/>
    <mergeCell ref="G21:G22"/>
    <mergeCell ref="G23:G25"/>
    <mergeCell ref="H4:H8"/>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workbookViewId="0">
      <pane ySplit="1" topLeftCell="A12" activePane="bottomLeft" state="frozen"/>
      <selection/>
      <selection pane="bottomLeft" activeCell="E40" sqref="E40"/>
    </sheetView>
  </sheetViews>
  <sheetFormatPr defaultColWidth="9" defaultRowHeight="13.5" outlineLevelCol="5"/>
  <cols>
    <col min="1" max="1" width="25.125" style="47" customWidth="1"/>
    <col min="2" max="2" width="46.25" style="48" customWidth="1"/>
    <col min="3" max="3" width="37.75" style="49" customWidth="1"/>
    <col min="4" max="4" width="61.625" style="49" customWidth="1"/>
    <col min="5" max="5" width="16.125" style="47" customWidth="1"/>
    <col min="6" max="6" width="12.375" style="47" customWidth="1"/>
    <col min="7" max="16384" width="9" style="50"/>
  </cols>
  <sheetData>
    <row r="1" spans="1:6">
      <c r="A1" s="51" t="s">
        <v>70</v>
      </c>
      <c r="B1" s="51" t="s">
        <v>71</v>
      </c>
      <c r="C1" s="51" t="s">
        <v>72</v>
      </c>
      <c r="D1" s="51" t="s">
        <v>73</v>
      </c>
      <c r="E1" s="52" t="s">
        <v>74</v>
      </c>
      <c r="F1" s="52" t="s">
        <v>75</v>
      </c>
    </row>
    <row r="2" spans="1:6">
      <c r="A2" s="53" t="s">
        <v>76</v>
      </c>
      <c r="B2" s="53" t="s">
        <v>77</v>
      </c>
      <c r="C2" s="53" t="s">
        <v>78</v>
      </c>
      <c r="D2" s="53" t="s">
        <v>79</v>
      </c>
      <c r="E2" s="54">
        <v>0</v>
      </c>
      <c r="F2" s="54">
        <v>8155.23</v>
      </c>
    </row>
    <row r="3" spans="1:6">
      <c r="A3" s="53" t="s">
        <v>76</v>
      </c>
      <c r="B3" s="53" t="s">
        <v>77</v>
      </c>
      <c r="C3" s="53" t="s">
        <v>78</v>
      </c>
      <c r="D3" s="53" t="s">
        <v>79</v>
      </c>
      <c r="E3" s="54">
        <v>0</v>
      </c>
      <c r="F3" s="54">
        <v>231.14</v>
      </c>
    </row>
    <row r="4" spans="1:6">
      <c r="A4" s="53" t="s">
        <v>76</v>
      </c>
      <c r="B4" s="53" t="s">
        <v>77</v>
      </c>
      <c r="C4" s="53" t="s">
        <v>78</v>
      </c>
      <c r="D4" s="53" t="s">
        <v>79</v>
      </c>
      <c r="E4" s="54">
        <v>0</v>
      </c>
      <c r="F4" s="54">
        <v>4037.1</v>
      </c>
    </row>
    <row r="5" spans="1:6">
      <c r="A5" s="53" t="s">
        <v>80</v>
      </c>
      <c r="B5" s="53" t="s">
        <v>81</v>
      </c>
      <c r="C5" s="53" t="s">
        <v>78</v>
      </c>
      <c r="D5" s="53" t="s">
        <v>82</v>
      </c>
      <c r="E5" s="54">
        <v>0</v>
      </c>
      <c r="F5" s="54">
        <v>450891.4</v>
      </c>
    </row>
    <row r="6" spans="1:6">
      <c r="A6" s="53" t="s">
        <v>80</v>
      </c>
      <c r="B6" s="53" t="s">
        <v>83</v>
      </c>
      <c r="C6" s="53" t="s">
        <v>78</v>
      </c>
      <c r="D6" s="53" t="s">
        <v>84</v>
      </c>
      <c r="E6" s="54">
        <v>0</v>
      </c>
      <c r="F6" s="54">
        <v>145200</v>
      </c>
    </row>
    <row r="7" spans="1:6">
      <c r="A7" s="53" t="s">
        <v>80</v>
      </c>
      <c r="B7" s="53" t="s">
        <v>85</v>
      </c>
      <c r="C7" s="53" t="s">
        <v>78</v>
      </c>
      <c r="D7" s="53" t="s">
        <v>82</v>
      </c>
      <c r="E7" s="54">
        <v>0</v>
      </c>
      <c r="F7" s="54">
        <v>2000</v>
      </c>
    </row>
    <row r="8" spans="1:6">
      <c r="A8" s="53" t="s">
        <v>86</v>
      </c>
      <c r="B8" s="53" t="s">
        <v>87</v>
      </c>
      <c r="C8" s="53" t="s">
        <v>88</v>
      </c>
      <c r="D8" s="53" t="s">
        <v>89</v>
      </c>
      <c r="E8" s="54">
        <v>0</v>
      </c>
      <c r="F8" s="54">
        <v>208.25</v>
      </c>
    </row>
    <row r="9" spans="1:6">
      <c r="A9" s="53" t="s">
        <v>90</v>
      </c>
      <c r="B9" s="53" t="s">
        <v>91</v>
      </c>
      <c r="C9" s="53" t="s">
        <v>78</v>
      </c>
      <c r="D9" s="53" t="s">
        <v>79</v>
      </c>
      <c r="E9" s="54">
        <v>0</v>
      </c>
      <c r="F9" s="54">
        <v>24463.26</v>
      </c>
    </row>
    <row r="10" spans="1:6">
      <c r="A10" s="53" t="s">
        <v>90</v>
      </c>
      <c r="B10" s="53" t="s">
        <v>91</v>
      </c>
      <c r="C10" s="53" t="s">
        <v>78</v>
      </c>
      <c r="D10" s="53" t="s">
        <v>79</v>
      </c>
      <c r="E10" s="54">
        <v>0</v>
      </c>
      <c r="F10" s="54">
        <v>12059.67</v>
      </c>
    </row>
    <row r="11" spans="1:6">
      <c r="A11" s="53" t="s">
        <v>92</v>
      </c>
      <c r="B11" s="53" t="s">
        <v>93</v>
      </c>
      <c r="C11" s="53" t="s">
        <v>78</v>
      </c>
      <c r="D11" s="53" t="s">
        <v>82</v>
      </c>
      <c r="E11" s="54">
        <v>0</v>
      </c>
      <c r="F11" s="54">
        <v>2000</v>
      </c>
    </row>
    <row r="12" spans="1:6">
      <c r="A12" s="53" t="s">
        <v>94</v>
      </c>
      <c r="B12" s="53" t="s">
        <v>95</v>
      </c>
      <c r="C12" s="53" t="s">
        <v>78</v>
      </c>
      <c r="D12" s="53" t="s">
        <v>96</v>
      </c>
      <c r="E12" s="54">
        <v>0</v>
      </c>
      <c r="F12" s="54">
        <v>380</v>
      </c>
    </row>
    <row r="13" spans="1:6">
      <c r="A13" s="55" t="s">
        <v>97</v>
      </c>
      <c r="B13" s="55" t="s">
        <v>98</v>
      </c>
      <c r="C13" s="55" t="s">
        <v>99</v>
      </c>
      <c r="D13" s="55" t="s">
        <v>100</v>
      </c>
      <c r="E13" s="56">
        <v>68710</v>
      </c>
      <c r="F13" s="56">
        <v>0</v>
      </c>
    </row>
    <row r="14" spans="1:6">
      <c r="A14" s="55" t="s">
        <v>101</v>
      </c>
      <c r="B14" s="55" t="s">
        <v>102</v>
      </c>
      <c r="C14" s="55" t="s">
        <v>99</v>
      </c>
      <c r="D14" s="55" t="s">
        <v>103</v>
      </c>
      <c r="E14" s="56">
        <v>57032.6</v>
      </c>
      <c r="F14" s="56">
        <v>0</v>
      </c>
    </row>
    <row r="15" spans="1:6">
      <c r="A15" s="55" t="s">
        <v>101</v>
      </c>
      <c r="B15" s="55" t="s">
        <v>104</v>
      </c>
      <c r="C15" s="55" t="s">
        <v>105</v>
      </c>
      <c r="D15" s="55" t="s">
        <v>106</v>
      </c>
      <c r="E15" s="56">
        <v>219175.81</v>
      </c>
      <c r="F15" s="56">
        <v>0</v>
      </c>
    </row>
    <row r="16" spans="1:6">
      <c r="A16" s="55" t="s">
        <v>101</v>
      </c>
      <c r="B16" s="55" t="s">
        <v>107</v>
      </c>
      <c r="C16" s="55" t="s">
        <v>99</v>
      </c>
      <c r="D16" s="55" t="s">
        <v>108</v>
      </c>
      <c r="E16" s="56">
        <v>412542.16</v>
      </c>
      <c r="F16" s="56">
        <v>0</v>
      </c>
    </row>
    <row r="17" spans="1:6">
      <c r="A17" s="55" t="s">
        <v>101</v>
      </c>
      <c r="B17" s="55" t="s">
        <v>107</v>
      </c>
      <c r="C17" s="55" t="s">
        <v>99</v>
      </c>
      <c r="D17" s="55" t="s">
        <v>108</v>
      </c>
      <c r="E17" s="56">
        <v>412542.16</v>
      </c>
      <c r="F17" s="56">
        <v>0</v>
      </c>
    </row>
    <row r="18" spans="1:6">
      <c r="A18" s="55" t="s">
        <v>109</v>
      </c>
      <c r="B18" s="55" t="s">
        <v>110</v>
      </c>
      <c r="C18" s="55" t="s">
        <v>105</v>
      </c>
      <c r="D18" s="55" t="s">
        <v>111</v>
      </c>
      <c r="E18" s="56">
        <v>31401.31</v>
      </c>
      <c r="F18" s="56">
        <v>0</v>
      </c>
    </row>
    <row r="19" spans="1:6">
      <c r="A19" s="55" t="s">
        <v>109</v>
      </c>
      <c r="B19" s="55" t="s">
        <v>112</v>
      </c>
      <c r="C19" s="55" t="s">
        <v>105</v>
      </c>
      <c r="D19" s="55" t="s">
        <v>106</v>
      </c>
      <c r="E19" s="56">
        <v>96632.6</v>
      </c>
      <c r="F19" s="56">
        <v>0</v>
      </c>
    </row>
    <row r="20" spans="1:6">
      <c r="A20" s="55" t="s">
        <v>113</v>
      </c>
      <c r="B20" s="55" t="s">
        <v>114</v>
      </c>
      <c r="C20" s="55" t="s">
        <v>99</v>
      </c>
      <c r="D20" s="55" t="s">
        <v>115</v>
      </c>
      <c r="E20" s="56">
        <v>15048</v>
      </c>
      <c r="F20" s="56">
        <v>0</v>
      </c>
    </row>
    <row r="21" spans="1:6">
      <c r="A21" s="55" t="s">
        <v>113</v>
      </c>
      <c r="B21" s="55" t="s">
        <v>116</v>
      </c>
      <c r="C21" s="55" t="s">
        <v>99</v>
      </c>
      <c r="D21" s="55" t="s">
        <v>117</v>
      </c>
      <c r="E21" s="56">
        <v>152500</v>
      </c>
      <c r="F21" s="56">
        <v>0</v>
      </c>
    </row>
    <row r="22" spans="1:6">
      <c r="A22" s="55" t="s">
        <v>118</v>
      </c>
      <c r="B22" s="55" t="s">
        <v>119</v>
      </c>
      <c r="C22" s="55" t="s">
        <v>99</v>
      </c>
      <c r="D22" s="55" t="s">
        <v>103</v>
      </c>
      <c r="E22" s="56">
        <v>18027.15</v>
      </c>
      <c r="F22" s="56">
        <v>0</v>
      </c>
    </row>
    <row r="23" spans="1:6">
      <c r="A23" s="55" t="s">
        <v>120</v>
      </c>
      <c r="B23" s="55" t="s">
        <v>121</v>
      </c>
      <c r="C23" s="55" t="s">
        <v>99</v>
      </c>
      <c r="D23" s="55" t="s">
        <v>115</v>
      </c>
      <c r="E23" s="56">
        <v>170896.6</v>
      </c>
      <c r="F23" s="56">
        <v>0</v>
      </c>
    </row>
    <row r="24" spans="1:6">
      <c r="A24" s="55" t="s">
        <v>122</v>
      </c>
      <c r="B24" s="55" t="s">
        <v>123</v>
      </c>
      <c r="C24" s="55" t="s">
        <v>105</v>
      </c>
      <c r="D24" s="55" t="s">
        <v>124</v>
      </c>
      <c r="E24" s="56">
        <v>558000</v>
      </c>
      <c r="F24" s="56">
        <v>0</v>
      </c>
    </row>
    <row r="25" spans="1:6">
      <c r="A25" s="55" t="s">
        <v>125</v>
      </c>
      <c r="B25" s="55" t="s">
        <v>126</v>
      </c>
      <c r="C25" s="55" t="s">
        <v>99</v>
      </c>
      <c r="D25" s="55" t="s">
        <v>127</v>
      </c>
      <c r="E25" s="56">
        <v>27500</v>
      </c>
      <c r="F25" s="56">
        <v>0</v>
      </c>
    </row>
    <row r="26" spans="1:6">
      <c r="A26" s="55" t="s">
        <v>80</v>
      </c>
      <c r="B26" s="55" t="s">
        <v>128</v>
      </c>
      <c r="C26" s="55" t="s">
        <v>99</v>
      </c>
      <c r="D26" s="55" t="s">
        <v>103</v>
      </c>
      <c r="E26" s="56">
        <v>275500</v>
      </c>
      <c r="F26" s="56">
        <v>0</v>
      </c>
    </row>
    <row r="27" spans="1:6">
      <c r="A27" s="55" t="s">
        <v>129</v>
      </c>
      <c r="B27" s="55" t="s">
        <v>130</v>
      </c>
      <c r="C27" s="55" t="s">
        <v>105</v>
      </c>
      <c r="D27" s="55" t="s">
        <v>131</v>
      </c>
      <c r="E27" s="56">
        <v>16910.22</v>
      </c>
      <c r="F27" s="56">
        <v>0</v>
      </c>
    </row>
    <row r="28" spans="1:6">
      <c r="A28" s="55" t="s">
        <v>129</v>
      </c>
      <c r="B28" s="55" t="s">
        <v>130</v>
      </c>
      <c r="C28" s="55" t="s">
        <v>105</v>
      </c>
      <c r="D28" s="55" t="s">
        <v>131</v>
      </c>
      <c r="E28" s="56">
        <v>11273.48</v>
      </c>
      <c r="F28" s="56">
        <v>0</v>
      </c>
    </row>
    <row r="29" spans="1:6">
      <c r="A29" s="55" t="s">
        <v>129</v>
      </c>
      <c r="B29" s="55" t="s">
        <v>132</v>
      </c>
      <c r="C29" s="55" t="s">
        <v>99</v>
      </c>
      <c r="D29" s="55" t="s">
        <v>100</v>
      </c>
      <c r="E29" s="56">
        <v>68710</v>
      </c>
      <c r="F29" s="56">
        <v>0</v>
      </c>
    </row>
    <row r="30" spans="1:6">
      <c r="A30" s="55" t="s">
        <v>90</v>
      </c>
      <c r="B30" s="55" t="s">
        <v>133</v>
      </c>
      <c r="C30" s="55" t="s">
        <v>105</v>
      </c>
      <c r="D30" s="55" t="s">
        <v>131</v>
      </c>
      <c r="E30" s="56">
        <v>572157</v>
      </c>
      <c r="F30" s="56">
        <v>0</v>
      </c>
    </row>
    <row r="31" spans="1:6">
      <c r="A31" s="55" t="s">
        <v>94</v>
      </c>
      <c r="B31" s="55" t="s">
        <v>134</v>
      </c>
      <c r="C31" s="55" t="s">
        <v>105</v>
      </c>
      <c r="D31" s="55" t="s">
        <v>106</v>
      </c>
      <c r="E31" s="56">
        <v>39183.14</v>
      </c>
      <c r="F31" s="56">
        <v>0</v>
      </c>
    </row>
    <row r="32" spans="1:6">
      <c r="A32" s="55" t="s">
        <v>94</v>
      </c>
      <c r="B32" s="55" t="s">
        <v>134</v>
      </c>
      <c r="C32" s="55" t="s">
        <v>105</v>
      </c>
      <c r="D32" s="55" t="s">
        <v>106</v>
      </c>
      <c r="E32" s="56">
        <v>117157.31</v>
      </c>
      <c r="F32" s="56">
        <v>0</v>
      </c>
    </row>
    <row r="33" spans="1:6">
      <c r="A33" s="55" t="s">
        <v>135</v>
      </c>
      <c r="B33" s="55" t="s">
        <v>136</v>
      </c>
      <c r="C33" s="55" t="s">
        <v>105</v>
      </c>
      <c r="D33" s="55" t="s">
        <v>106</v>
      </c>
      <c r="E33" s="56">
        <v>327369.84</v>
      </c>
      <c r="F33" s="56">
        <v>0</v>
      </c>
    </row>
    <row r="34" spans="1:6">
      <c r="A34" s="55" t="s">
        <v>137</v>
      </c>
      <c r="B34" s="55" t="s">
        <v>133</v>
      </c>
      <c r="C34" s="55" t="s">
        <v>105</v>
      </c>
      <c r="D34" s="55" t="s">
        <v>131</v>
      </c>
      <c r="E34" s="56">
        <v>57064.56</v>
      </c>
      <c r="F34" s="56">
        <v>0</v>
      </c>
    </row>
    <row r="35" spans="1:6">
      <c r="A35" s="57"/>
      <c r="B35" s="57"/>
      <c r="C35" s="57"/>
      <c r="D35" s="57"/>
      <c r="E35" s="58">
        <f>SUM(E2:E34)</f>
        <v>3725333.94</v>
      </c>
      <c r="F35" s="58">
        <f>SUM(F2:F34)</f>
        <v>649626.05</v>
      </c>
    </row>
    <row r="36" spans="1:6">
      <c r="A36" s="57"/>
      <c r="B36" s="57"/>
      <c r="C36" s="57"/>
      <c r="D36" s="57"/>
      <c r="E36" s="58"/>
      <c r="F36" s="58"/>
    </row>
    <row r="37" ht="10" customHeight="1" spans="1:6">
      <c r="A37" s="57"/>
      <c r="B37" s="57"/>
      <c r="C37" s="57"/>
      <c r="D37" s="57"/>
      <c r="E37" s="58"/>
      <c r="F37" s="58"/>
    </row>
    <row r="38" ht="17" customHeight="1" spans="1:6">
      <c r="A38" s="59" t="s">
        <v>138</v>
      </c>
      <c r="B38" s="60" t="s">
        <v>139</v>
      </c>
      <c r="D38" s="61" t="s">
        <v>140</v>
      </c>
      <c r="E38" s="62" t="s">
        <v>139</v>
      </c>
      <c r="F38" s="62"/>
    </row>
    <row r="39" ht="17" customHeight="1" spans="1:6">
      <c r="A39" s="59" t="s">
        <v>141</v>
      </c>
      <c r="B39" s="60">
        <f>E15+E19+E31+E32+E33</f>
        <v>799518.7</v>
      </c>
      <c r="D39" s="61" t="s">
        <v>142</v>
      </c>
      <c r="E39" s="62">
        <f>F2+F3+F4+F5+F7+F9+F10+F11+F12</f>
        <v>504217.8</v>
      </c>
      <c r="F39" s="63" t="s">
        <v>143</v>
      </c>
    </row>
    <row r="40" ht="17" customHeight="1" spans="1:6">
      <c r="A40" s="59" t="s">
        <v>61</v>
      </c>
      <c r="B40" s="60">
        <f>E27+E28+E30+E34</f>
        <v>657405.26</v>
      </c>
      <c r="D40" s="61" t="s">
        <v>144</v>
      </c>
      <c r="E40" s="62">
        <f>F6</f>
        <v>145200</v>
      </c>
      <c r="F40" s="63" t="s">
        <v>145</v>
      </c>
    </row>
    <row r="41" ht="17" customHeight="1" spans="1:6">
      <c r="A41" s="59" t="s">
        <v>64</v>
      </c>
      <c r="B41" s="60">
        <f>E14+E22+E26</f>
        <v>350559.75</v>
      </c>
      <c r="D41" s="61" t="s">
        <v>141</v>
      </c>
      <c r="E41" s="62">
        <f>F8</f>
        <v>208.25</v>
      </c>
      <c r="F41" s="63" t="s">
        <v>146</v>
      </c>
    </row>
    <row r="42" ht="17" customHeight="1" spans="1:6">
      <c r="A42" s="59" t="s">
        <v>147</v>
      </c>
      <c r="B42" s="60">
        <f>E20+E23</f>
        <v>185944.6</v>
      </c>
      <c r="D42" s="61"/>
      <c r="E42" s="62">
        <f>SUM(E39:E41)</f>
        <v>649626.05</v>
      </c>
      <c r="F42" s="63"/>
    </row>
    <row r="43" ht="17" customHeight="1" spans="1:6">
      <c r="A43" s="59" t="s">
        <v>148</v>
      </c>
      <c r="B43" s="60">
        <f>E21</f>
        <v>152500</v>
      </c>
      <c r="D43" s="64"/>
      <c r="E43" s="65"/>
      <c r="F43" s="66"/>
    </row>
    <row r="44" ht="17" customHeight="1" spans="1:6">
      <c r="A44" s="59" t="s">
        <v>63</v>
      </c>
      <c r="B44" s="60">
        <f>E18</f>
        <v>31401.31</v>
      </c>
      <c r="D44" s="64"/>
      <c r="E44" s="67"/>
      <c r="F44" s="65"/>
    </row>
    <row r="45" ht="17" customHeight="1" spans="1:6">
      <c r="A45" s="59" t="s">
        <v>69</v>
      </c>
      <c r="B45" s="60">
        <f>E13+E25+E29</f>
        <v>164920</v>
      </c>
      <c r="D45" s="64"/>
      <c r="E45" s="67"/>
      <c r="F45" s="67"/>
    </row>
    <row r="46" ht="17" customHeight="1" spans="1:6">
      <c r="A46" s="59" t="s">
        <v>149</v>
      </c>
      <c r="B46" s="60">
        <f>E16+E17</f>
        <v>825084.32</v>
      </c>
    </row>
    <row r="47" ht="17" customHeight="1" spans="1:6">
      <c r="A47" s="59" t="s">
        <v>150</v>
      </c>
      <c r="B47" s="60">
        <f>E24</f>
        <v>558000</v>
      </c>
    </row>
    <row r="48" spans="1:6">
      <c r="A48" s="59"/>
      <c r="B48" s="60">
        <f>SUM(B39:B47)</f>
        <v>3725333.94</v>
      </c>
    </row>
  </sheetData>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workbookViewId="0">
      <selection activeCell="H19" sqref="H19"/>
    </sheetView>
  </sheetViews>
  <sheetFormatPr defaultColWidth="9" defaultRowHeight="25" customHeight="1"/>
  <cols>
    <col min="1" max="1" width="9" style="3"/>
    <col min="2" max="2" width="16.1333333333333" style="3" customWidth="1"/>
    <col min="3" max="3" width="13.6333333333333" style="4" customWidth="1"/>
    <col min="4" max="4" width="13.125" style="5" customWidth="1"/>
    <col min="5" max="5" width="12.75" style="6" customWidth="1"/>
    <col min="6" max="6" width="13.6333333333333" style="5" customWidth="1"/>
    <col min="7" max="7" width="14.5" style="5" customWidth="1"/>
    <col min="8" max="8" width="24.5" style="7" customWidth="1"/>
    <col min="9" max="9" width="9.125" style="8" customWidth="1"/>
    <col min="10" max="10" width="64.625" style="9" customWidth="1"/>
    <col min="11" max="11" width="14.25" style="7" customWidth="1"/>
    <col min="12" max="12" width="31.8833333333333" style="10" customWidth="1"/>
    <col min="13" max="13" width="21.75" style="11" customWidth="1"/>
    <col min="14" max="14" width="10.75" customWidth="1"/>
  </cols>
  <sheetData>
    <row r="1" customHeight="1" spans="1:13">
      <c r="A1" s="12" t="s">
        <v>51</v>
      </c>
      <c r="B1" s="12" t="s">
        <v>151</v>
      </c>
      <c r="C1" s="13" t="s">
        <v>152</v>
      </c>
      <c r="D1" s="14" t="s">
        <v>153</v>
      </c>
      <c r="E1" s="15" t="s">
        <v>154</v>
      </c>
      <c r="F1" s="16" t="s">
        <v>155</v>
      </c>
      <c r="G1" s="16" t="s">
        <v>156</v>
      </c>
      <c r="H1" s="16" t="s">
        <v>157</v>
      </c>
      <c r="I1" s="17" t="s">
        <v>158</v>
      </c>
      <c r="J1" s="18" t="s">
        <v>159</v>
      </c>
      <c r="L1" s="19"/>
      <c r="M1" s="20"/>
    </row>
    <row r="2" ht="21" customHeight="1" spans="1:13">
      <c r="A2" s="21">
        <v>1</v>
      </c>
      <c r="B2" s="22" t="s">
        <v>160</v>
      </c>
      <c r="C2" s="23" t="s">
        <v>161</v>
      </c>
      <c r="D2" s="24">
        <v>1787.1</v>
      </c>
      <c r="E2" s="25">
        <v>9143.23</v>
      </c>
      <c r="F2" s="26" t="s">
        <v>162</v>
      </c>
      <c r="G2" s="24">
        <f>D2+E2</f>
        <v>10930.33</v>
      </c>
      <c r="H2" s="27" t="s">
        <v>17</v>
      </c>
      <c r="I2" s="28">
        <v>31</v>
      </c>
      <c r="J2" s="29" t="s">
        <v>163</v>
      </c>
      <c r="K2" s="30"/>
    </row>
    <row r="3" ht="21" customHeight="1" spans="1:13">
      <c r="A3" s="21">
        <v>2</v>
      </c>
      <c r="B3" s="31"/>
      <c r="C3" s="32" t="s">
        <v>164</v>
      </c>
      <c r="D3" s="24">
        <v>1787.1</v>
      </c>
      <c r="E3" s="25">
        <v>11832.46</v>
      </c>
      <c r="F3" s="26"/>
      <c r="G3" s="24">
        <f t="shared" ref="G3:G10" si="0">D3+E3</f>
        <v>13619.56</v>
      </c>
      <c r="H3" s="27" t="s">
        <v>17</v>
      </c>
      <c r="I3" s="28">
        <v>31</v>
      </c>
      <c r="J3" s="29" t="s">
        <v>165</v>
      </c>
      <c r="K3" s="30"/>
    </row>
    <row r="4" ht="21" customHeight="1" spans="1:13">
      <c r="A4" s="21">
        <v>3</v>
      </c>
      <c r="B4" s="31"/>
      <c r="C4" s="33" t="s">
        <v>166</v>
      </c>
      <c r="D4" s="24"/>
      <c r="E4" s="25">
        <v>5647</v>
      </c>
      <c r="F4" s="26"/>
      <c r="G4" s="24">
        <f t="shared" si="0"/>
        <v>5647</v>
      </c>
      <c r="H4" s="27" t="s">
        <v>17</v>
      </c>
      <c r="I4" s="28">
        <v>31</v>
      </c>
      <c r="J4" s="29" t="s">
        <v>167</v>
      </c>
      <c r="K4" s="30"/>
    </row>
    <row r="5" ht="21" customHeight="1" spans="1:13">
      <c r="A5" s="21">
        <v>4</v>
      </c>
      <c r="B5" s="31"/>
      <c r="C5" s="33" t="s">
        <v>168</v>
      </c>
      <c r="D5" s="24"/>
      <c r="E5" s="25">
        <v>5908</v>
      </c>
      <c r="F5" s="26"/>
      <c r="G5" s="24">
        <f t="shared" si="0"/>
        <v>5908</v>
      </c>
      <c r="H5" s="27" t="s">
        <v>17</v>
      </c>
      <c r="I5" s="28">
        <v>31</v>
      </c>
      <c r="J5" s="29" t="s">
        <v>169</v>
      </c>
      <c r="K5" s="30"/>
    </row>
    <row r="6" ht="21" customHeight="1" spans="1:13">
      <c r="A6" s="21">
        <v>5</v>
      </c>
      <c r="B6" s="31"/>
      <c r="C6" s="33" t="s">
        <v>170</v>
      </c>
      <c r="D6" s="24">
        <v>1787.1</v>
      </c>
      <c r="E6" s="25">
        <v>6714.23</v>
      </c>
      <c r="F6" s="26"/>
      <c r="G6" s="24">
        <f t="shared" si="0"/>
        <v>8501.33</v>
      </c>
      <c r="H6" s="27" t="s">
        <v>17</v>
      </c>
      <c r="I6" s="28">
        <v>31</v>
      </c>
      <c r="J6" s="29" t="s">
        <v>171</v>
      </c>
      <c r="K6" s="30"/>
    </row>
    <row r="7" ht="21" customHeight="1" spans="1:13">
      <c r="A7" s="21">
        <v>6</v>
      </c>
      <c r="B7" s="31"/>
      <c r="C7" s="34" t="s">
        <v>172</v>
      </c>
      <c r="D7" s="24">
        <v>1579.1</v>
      </c>
      <c r="E7" s="25">
        <v>5635.23</v>
      </c>
      <c r="F7" s="26"/>
      <c r="G7" s="24">
        <f t="shared" si="0"/>
        <v>7214.33</v>
      </c>
      <c r="H7" s="27" t="s">
        <v>17</v>
      </c>
      <c r="I7" s="28">
        <v>31</v>
      </c>
      <c r="J7" s="29" t="s">
        <v>169</v>
      </c>
      <c r="K7" s="30"/>
    </row>
    <row r="8" ht="28" customHeight="1" spans="1:13">
      <c r="A8" s="21">
        <v>7</v>
      </c>
      <c r="B8" s="31"/>
      <c r="C8" s="35" t="s">
        <v>173</v>
      </c>
      <c r="D8" s="24">
        <v>1579.1</v>
      </c>
      <c r="E8" s="25">
        <v>5040.23</v>
      </c>
      <c r="F8" s="26"/>
      <c r="G8" s="24">
        <f t="shared" si="0"/>
        <v>6619.33</v>
      </c>
      <c r="H8" s="27" t="s">
        <v>17</v>
      </c>
      <c r="I8" s="28">
        <v>31</v>
      </c>
      <c r="J8" s="29" t="s">
        <v>167</v>
      </c>
      <c r="K8" s="30"/>
    </row>
    <row r="9" ht="21" customHeight="1" spans="1:13">
      <c r="A9" s="21">
        <v>8</v>
      </c>
      <c r="B9" s="36"/>
      <c r="C9" s="37" t="s">
        <v>174</v>
      </c>
      <c r="D9" s="38">
        <f>1903.29/31*I9</f>
        <v>982.343225806452</v>
      </c>
      <c r="E9" s="39">
        <f>(12614.42-1600)/31*16+1600</f>
        <v>7284.86193548387</v>
      </c>
      <c r="F9" s="26"/>
      <c r="G9" s="24">
        <f t="shared" si="0"/>
        <v>8267.20516129032</v>
      </c>
      <c r="H9" s="27" t="s">
        <v>17</v>
      </c>
      <c r="I9" s="28">
        <v>16</v>
      </c>
      <c r="J9" s="40" t="s">
        <v>175</v>
      </c>
      <c r="K9" s="30"/>
    </row>
    <row r="10" ht="30" customHeight="1" spans="1:13">
      <c r="A10" s="41"/>
      <c r="B10" s="42"/>
      <c r="C10" s="43"/>
      <c r="D10" s="44"/>
      <c r="E10" s="45"/>
      <c r="F10" s="44"/>
      <c r="G10" s="44">
        <f>SUM(G2:G9)</f>
        <v>66707.0851612903</v>
      </c>
      <c r="H10" s="46"/>
    </row>
  </sheetData>
  <mergeCells count="2">
    <mergeCell ref="B2:B9"/>
    <mergeCell ref="F2:F9"/>
  </mergeCells>
  <conditionalFormatting sqref="C2">
    <cfRule type="duplicateValues" dxfId="0" priority="6"/>
  </conditionalFormatting>
  <conditionalFormatting sqref="C3">
    <cfRule type="duplicateValues" dxfId="0" priority="3"/>
  </conditionalFormatting>
  <conditionalFormatting sqref="C7">
    <cfRule type="duplicateValues" dxfId="0" priority="2"/>
  </conditionalFormatting>
  <conditionalFormatting sqref="C4:C6">
    <cfRule type="duplicateValues" dxfId="0" priority="7"/>
  </conditionalFormatting>
  <conditionalFormatting sqref="C2 C4:C6">
    <cfRule type="duplicateValues" dxfId="0" priority="4"/>
  </conditionalFormatting>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2:I23"/>
  <sheetViews>
    <sheetView workbookViewId="0">
      <selection activeCell="J35" sqref="J35"/>
    </sheetView>
  </sheetViews>
  <sheetFormatPr defaultColWidth="9" defaultRowHeight="13.5"/>
  <cols>
    <col min="1" max="1" width="22.375" customWidth="1"/>
    <col min="6" max="6" width="22.25" customWidth="1"/>
    <col min="7" max="7" width="9" customWidth="1"/>
    <col min="8" max="8" width="9" hidden="1" customWidth="1"/>
    <col min="9" max="9" width="10.875" customWidth="1"/>
    <col min="10" max="10" width="32.25" style="1" customWidth="1"/>
  </cols>
  <sheetData>
    <row r="22" spans="1:9">
      <c r="A22" s="2" t="s">
        <v>176</v>
      </c>
      <c r="B22" s="2"/>
      <c r="C22" s="2"/>
      <c r="D22" s="2"/>
      <c r="E22" s="2"/>
      <c r="F22" s="2"/>
      <c r="G22" s="2"/>
      <c r="H22" s="2"/>
      <c r="I22" s="2"/>
    </row>
    <row r="23" spans="1:9">
      <c r="A23" s="2" t="s">
        <v>177</v>
      </c>
      <c r="B23" s="2"/>
      <c r="C23" s="2"/>
      <c r="D23" s="2"/>
      <c r="E23" s="2"/>
      <c r="F23" s="2"/>
      <c r="G23" s="2"/>
      <c r="H23" s="2"/>
      <c r="I23" s="2"/>
    </row>
  </sheetData>
  <mergeCells count="2">
    <mergeCell ref="A22:I22"/>
    <mergeCell ref="A23:I23"/>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U13" sqref="U13"/>
    </sheetView>
  </sheetViews>
  <sheetFormatPr defaultColWidth="9" defaultRowHeight="13.5"/>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2025.11结算</vt:lpstr>
      <vt:lpstr>11月回款</vt:lpstr>
      <vt:lpstr>11月日记账</vt:lpstr>
      <vt:lpstr>11月支援人员费用明细表</vt:lpstr>
      <vt:lpstr>云南垫付服装费</vt:lpstr>
      <vt:lpstr>云南垫付招投标费用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中高后勤陶刘燕15887864674</cp:lastModifiedBy>
  <dcterms:created xsi:type="dcterms:W3CDTF">2025-04-27T02:06:00Z</dcterms:created>
  <dcterms:modified xsi:type="dcterms:W3CDTF">2026-01-28T01:53:52Z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B3BCCF4FEA6644E78391884F385D2ADE_13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