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-2025年结算管理费金额补差" sheetId="3" r:id="rId1"/>
    <sheet name="2025年利息金额" sheetId="4" r:id="rId2"/>
  </sheets>
  <definedNames>
    <definedName name="_xlnm._FilterDatabase" localSheetId="1" hidden="1">'2025年利息金额'!$A$2:$M$36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<sst xmlns="http://schemas.openxmlformats.org/spreadsheetml/2006/main" count="69" uniqueCount="37">
  <si>
    <t>2024-2025年10月结算表中已扣管理费金额3%</t>
  </si>
  <si>
    <t>结算月份</t>
  </si>
  <si>
    <t>结算时扣管理费金额3%</t>
  </si>
  <si>
    <t>2024年-2025年2月</t>
  </si>
  <si>
    <t>2025年3-4月</t>
  </si>
  <si>
    <t>合计：</t>
  </si>
  <si>
    <t>管理费补结算给新疆金额（3个点）</t>
  </si>
  <si>
    <t>2025年与新疆的借款利息金额</t>
  </si>
  <si>
    <t>扣减2025年与新疆的利息金额后最终补差</t>
  </si>
  <si>
    <t>注：从2025年11月份开始的结算表中已无管理费</t>
  </si>
  <si>
    <t>利息计算表（年利息4%）</t>
  </si>
  <si>
    <t>日期</t>
  </si>
  <si>
    <t>收支项</t>
  </si>
  <si>
    <t>收入金额
（元）</t>
  </si>
  <si>
    <t>支出金额
（元）</t>
  </si>
  <si>
    <t>余额（计息基数/本金）</t>
  </si>
  <si>
    <t>计息天数</t>
  </si>
  <si>
    <t>利息（元）</t>
  </si>
  <si>
    <t>备注</t>
  </si>
  <si>
    <t>年息</t>
  </si>
  <si>
    <t>支出</t>
  </si>
  <si>
    <t>2024年利息不计算</t>
  </si>
  <si>
    <t>收入</t>
  </si>
  <si>
    <t>2025年1月的利息</t>
  </si>
  <si>
    <t>截止到2024年12月末的本金余额为基数</t>
  </si>
  <si>
    <t>2025年2月的利息</t>
  </si>
  <si>
    <t>2025年3月的利息</t>
  </si>
  <si>
    <t>2025年4月的利息</t>
  </si>
  <si>
    <t>2025年5月的利息</t>
  </si>
  <si>
    <t>2025年6月的利息</t>
  </si>
  <si>
    <t>2025年7月的利息</t>
  </si>
  <si>
    <t>2025年8月的利息</t>
  </si>
  <si>
    <t>2025年9月的利息</t>
  </si>
  <si>
    <t>2025年10月的利息</t>
  </si>
  <si>
    <t>2025年11月利息</t>
  </si>
  <si>
    <t>2025年12月利息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</si>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</sst>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57" fontId="0" fillId="2" borderId="1" xfId="0" applyNumberForma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57" fontId="0" fillId="3" borderId="1" xfId="0" applyNumberForma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76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57" fontId="0" fillId="4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>
      <alignment vertical="center"/>
    </xf>
    <xf numFmtId="57" fontId="0" fillId="0" borderId="1" xfId="0" applyNumberFormat="1" applyBorder="1" applyAlignment="1">
      <alignment horizontal="left" vertical="center"/>
    </xf>
    <xf numFmtId="57" fontId="0" fillId="0" borderId="1" xfId="0" applyNumberFormat="1" applyFont="1" applyBorder="1" applyAlignment="1">
      <alignment horizontal="left" vertical="center"/>
    </xf>
    <xf numFmtId="176" fontId="0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0" fillId="5" borderId="1" xfId="0" applyNumberFormat="1" applyFill="1" applyBorder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0"/>
  <sheetViews>
    <sheetView tabSelected="1" workbookViewId="0">
      <pane ySplit="1" topLeftCell="A2" activePane="bottomLeft" state="frozen"/>
      <selection/>
      <selection pane="bottomLeft" activeCell="E22" sqref="E22"/>
    </sheetView>
  </sheetViews>
  <sheetFormatPr defaultColWidth="9" defaultRowHeight="13.5" outlineLevelCol="3"/>
  <cols>
    <col min="1" max="1" width="30.5" customWidth="1"/>
    <col min="2" max="2" width="23.125" customWidth="1"/>
    <col min="3" max="3" width="17.125" customWidth="1"/>
    <col min="4" max="4" width="22.875" customWidth="1"/>
    <col min="5" max="5" width="18.125" customWidth="1"/>
  </cols>
  <sheetData>
    <row r="2" ht="29" customHeight="1" spans="1:2">
      <c r="A2" s="29" t="s">
        <v>0</v>
      </c>
      <c r="B2" s="29"/>
    </row>
    <row r="3" ht="25" customHeight="1" spans="1:2">
      <c r="A3" s="30" t="s">
        <v>1</v>
      </c>
      <c r="B3" s="30" t="s">
        <v>2</v>
      </c>
    </row>
    <row r="4" ht="24" customHeight="1" spans="1:2">
      <c r="A4" s="31" t="s">
        <v>3</v>
      </c>
      <c r="B4" s="32">
        <v>117378.6594</v>
      </c>
    </row>
    <row r="5" ht="24" customHeight="1" spans="1:2">
      <c r="A5" s="31" t="s">
        <v>4</v>
      </c>
      <c r="B5" s="32">
        <v>51793.7169</v>
      </c>
    </row>
    <row r="6" ht="24" customHeight="1" spans="1:2">
      <c r="A6" s="33">
        <v>45778</v>
      </c>
      <c r="B6" s="32">
        <v>48186.7161</v>
      </c>
    </row>
    <row r="7" ht="24" customHeight="1" spans="1:2">
      <c r="A7" s="33">
        <v>45810</v>
      </c>
      <c r="B7" s="32">
        <v>43965.7659</v>
      </c>
    </row>
    <row r="8" ht="24" customHeight="1" spans="1:2">
      <c r="A8" s="33">
        <v>45841</v>
      </c>
      <c r="B8" s="32">
        <v>41178.0402</v>
      </c>
    </row>
    <row r="9" ht="24" customHeight="1" spans="1:2">
      <c r="A9" s="33">
        <v>45873</v>
      </c>
      <c r="B9" s="32">
        <v>58145.7327</v>
      </c>
    </row>
    <row r="10" ht="24" customHeight="1" spans="1:2">
      <c r="A10" s="33">
        <v>45905</v>
      </c>
      <c r="B10" s="32">
        <v>86716.7946</v>
      </c>
    </row>
    <row r="11" ht="24" customHeight="1" spans="1:2">
      <c r="A11" s="34">
        <v>45931</v>
      </c>
      <c r="B11" s="35">
        <v>47648.7321</v>
      </c>
    </row>
    <row r="12" ht="21" customHeight="1" spans="1:3">
      <c r="A12" s="36" t="s">
        <v>5</v>
      </c>
      <c r="B12" s="37">
        <f>SUM(B4:B11)</f>
        <v>495014.1579</v>
      </c>
      <c r="C12" s="38"/>
    </row>
    <row r="13" spans="2:2">
      <c r="B13" s="38"/>
    </row>
    <row r="15" ht="34" customHeight="1" spans="1:2">
      <c r="A15" s="30" t="s">
        <v>6</v>
      </c>
      <c r="B15" s="39">
        <f>B12</f>
        <v>495014.1579</v>
      </c>
    </row>
    <row r="16" ht="34" customHeight="1" spans="1:2">
      <c r="A16" s="40" t="s">
        <v>7</v>
      </c>
      <c r="B16" s="32">
        <v>213357.07260274</v>
      </c>
    </row>
    <row r="17" ht="34" customHeight="1" spans="1:4">
      <c r="A17" s="40" t="s">
        <v>8</v>
      </c>
      <c r="B17" s="39">
        <f>B15-B16</f>
        <v>281657.08529726</v>
      </c>
      <c r="D17" s="38"/>
    </row>
    <row r="18" spans="1:1">
      <c r="A18" s="41"/>
    </row>
    <row r="20" spans="1:1">
      <c r="A20" s="41" t="s">
        <v>9</v>
      </c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pane ySplit="2" topLeftCell="A14" activePane="bottomLeft" state="frozen"/>
      <selection/>
      <selection pane="bottomLeft" activeCell="K43" sqref="K43"/>
    </sheetView>
  </sheetViews>
  <sheetFormatPr defaultColWidth="9" defaultRowHeight="13.5"/>
  <cols>
    <col min="1" max="1" width="14.8916666666667" style="1" customWidth="1"/>
    <col min="2" max="2" width="8.89166666666667" style="1"/>
    <col min="3" max="3" width="10.4416666666667" style="1" customWidth="1"/>
    <col min="4" max="5" width="10.8916666666667" style="1" customWidth="1"/>
    <col min="6" max="6" width="8.89166666666667" style="1"/>
    <col min="7" max="7" width="13.5583333333333" style="1" customWidth="1"/>
    <col min="8" max="8" width="18.25" style="1" customWidth="1"/>
    <col min="9" max="9" width="12.875" style="1" customWidth="1"/>
    <col min="10" max="10" width="6.5" style="1" customWidth="1"/>
    <col min="11" max="11" width="5.125" style="1" customWidth="1"/>
    <col min="12" max="12" width="39.875" style="1" customWidth="1"/>
    <col min="13" max="13" width="12.625" style="1"/>
    <col min="14" max="16384" width="8.89166666666667" style="1"/>
  </cols>
  <sheetData>
    <row r="1" s="1" customFormat="1" ht="33" customHeight="1" spans="1:11">
      <c r="A1" s="3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1" customHeight="1" spans="1:11">
      <c r="A2" s="4" t="s">
        <v>11</v>
      </c>
      <c r="B2" s="4" t="s">
        <v>12</v>
      </c>
      <c r="C2" s="5" t="s">
        <v>13</v>
      </c>
      <c r="D2" s="5" t="s">
        <v>14</v>
      </c>
      <c r="E2" s="5" t="s">
        <v>15</v>
      </c>
      <c r="F2" s="4" t="s">
        <v>16</v>
      </c>
      <c r="G2" s="4" t="s">
        <v>17</v>
      </c>
      <c r="H2" s="4" t="s">
        <v>18</v>
      </c>
      <c r="I2" s="4"/>
      <c r="J2" s="25" t="s">
        <v>19</v>
      </c>
      <c r="K2" s="26">
        <v>0.04</v>
      </c>
    </row>
    <row r="3" s="1" customFormat="1" ht="19" customHeight="1" spans="1:9">
      <c r="A3" s="6">
        <v>45413</v>
      </c>
      <c r="B3" s="7" t="s">
        <v>20</v>
      </c>
      <c r="C3" s="8"/>
      <c r="D3" s="8">
        <f>107676+7600.3+30000</f>
        <v>145276.3</v>
      </c>
      <c r="E3" s="8">
        <f>D3</f>
        <v>145276.3</v>
      </c>
      <c r="F3" s="8">
        <f>30</f>
        <v>30</v>
      </c>
      <c r="G3" s="9"/>
      <c r="H3" s="10" t="s">
        <v>21</v>
      </c>
      <c r="I3" s="27"/>
    </row>
    <row r="4" s="1" customFormat="1" ht="19" customHeight="1" spans="1:9">
      <c r="A4" s="6">
        <v>45445</v>
      </c>
      <c r="B4" s="7" t="s">
        <v>20</v>
      </c>
      <c r="C4" s="8"/>
      <c r="D4" s="8">
        <f>34867+1851.27+4800</f>
        <v>41518.27</v>
      </c>
      <c r="E4" s="8">
        <f t="shared" ref="E4:E8" si="0">E3+D4</f>
        <v>186794.57</v>
      </c>
      <c r="F4" s="8">
        <f>31*1</f>
        <v>31</v>
      </c>
      <c r="G4" s="9"/>
      <c r="H4" s="11"/>
      <c r="I4" s="27"/>
    </row>
    <row r="5" s="2" customFormat="1" ht="19" customHeight="1" spans="1:9">
      <c r="A5" s="12">
        <v>45474</v>
      </c>
      <c r="B5" s="13" t="s">
        <v>22</v>
      </c>
      <c r="C5" s="14">
        <v>207000</v>
      </c>
      <c r="D5" s="14"/>
      <c r="E5" s="14"/>
      <c r="F5" s="14"/>
      <c r="G5" s="15"/>
      <c r="H5" s="11"/>
      <c r="I5" s="27"/>
    </row>
    <row r="6" s="1" customFormat="1" ht="24" customHeight="1" spans="1:9">
      <c r="A6" s="6">
        <v>45474</v>
      </c>
      <c r="B6" s="7" t="s">
        <v>20</v>
      </c>
      <c r="C6" s="8"/>
      <c r="D6" s="8">
        <f>60000+447894.35+40031.83+14698.48</f>
        <v>562624.66</v>
      </c>
      <c r="E6" s="8">
        <f>E4+D6-C5</f>
        <v>542419.23</v>
      </c>
      <c r="F6" s="8">
        <v>31</v>
      </c>
      <c r="G6" s="9"/>
      <c r="H6" s="11"/>
      <c r="I6" s="27"/>
    </row>
    <row r="7" s="1" customFormat="1" ht="19" customHeight="1" spans="1:9">
      <c r="A7" s="6">
        <v>45506</v>
      </c>
      <c r="B7" s="7" t="s">
        <v>20</v>
      </c>
      <c r="C7" s="8"/>
      <c r="D7" s="8">
        <f>649460.83+3512.9+8788.04+250000+290000</f>
        <v>1201761.77</v>
      </c>
      <c r="E7" s="8">
        <f t="shared" si="0"/>
        <v>1744181</v>
      </c>
      <c r="F7" s="8">
        <v>30</v>
      </c>
      <c r="G7" s="9"/>
      <c r="H7" s="11"/>
      <c r="I7" s="27"/>
    </row>
    <row r="8" s="1" customFormat="1" ht="19" customHeight="1" spans="1:9">
      <c r="A8" s="6">
        <v>45538</v>
      </c>
      <c r="B8" s="7" t="s">
        <v>20</v>
      </c>
      <c r="C8" s="8"/>
      <c r="D8" s="8">
        <f>319445.88+101708.36+4702.45+5148.39+23189.83+150000+310000</f>
        <v>914194.91</v>
      </c>
      <c r="E8" s="8">
        <f t="shared" si="0"/>
        <v>2658375.91</v>
      </c>
      <c r="F8" s="8">
        <v>31</v>
      </c>
      <c r="G8" s="9"/>
      <c r="H8" s="11"/>
      <c r="I8" s="27"/>
    </row>
    <row r="9" s="2" customFormat="1" ht="19" customHeight="1" spans="1:9">
      <c r="A9" s="12">
        <v>45568</v>
      </c>
      <c r="B9" s="13" t="s">
        <v>22</v>
      </c>
      <c r="C9" s="14">
        <v>1469320</v>
      </c>
      <c r="D9" s="14"/>
      <c r="E9" s="14"/>
      <c r="F9" s="14"/>
      <c r="G9" s="15"/>
      <c r="H9" s="11"/>
      <c r="I9" s="27"/>
    </row>
    <row r="10" s="1" customFormat="1" ht="19" customHeight="1" spans="1:9">
      <c r="A10" s="6">
        <v>45569</v>
      </c>
      <c r="B10" s="7" t="s">
        <v>20</v>
      </c>
      <c r="C10" s="8"/>
      <c r="D10" s="8">
        <f>101134.5+6394.07+4119.55+19210.95+1290000</f>
        <v>1420859.07</v>
      </c>
      <c r="E10" s="8">
        <f t="shared" ref="E10:E14" si="1">E8+D10-C9</f>
        <v>2609914.98</v>
      </c>
      <c r="F10" s="8">
        <v>30</v>
      </c>
      <c r="G10" s="9"/>
      <c r="H10" s="11"/>
      <c r="I10" s="27"/>
    </row>
    <row r="11" s="2" customFormat="1" ht="19" customHeight="1" spans="1:9">
      <c r="A11" s="12">
        <v>45600</v>
      </c>
      <c r="B11" s="13" t="s">
        <v>22</v>
      </c>
      <c r="C11" s="14">
        <v>785767.63</v>
      </c>
      <c r="D11" s="14"/>
      <c r="E11" s="14"/>
      <c r="F11" s="14"/>
      <c r="G11" s="15"/>
      <c r="H11" s="11"/>
      <c r="I11" s="27"/>
    </row>
    <row r="12" s="1" customFormat="1" ht="19" customHeight="1" spans="1:9">
      <c r="A12" s="6">
        <v>45601</v>
      </c>
      <c r="B12" s="7" t="s">
        <v>20</v>
      </c>
      <c r="C12" s="8"/>
      <c r="D12" s="8">
        <f>1109676.62+3655.81+4119.55+29097.6+11615.32+1220000</f>
        <v>2378164.9</v>
      </c>
      <c r="E12" s="8">
        <f t="shared" si="1"/>
        <v>4202312.25</v>
      </c>
      <c r="F12" s="8">
        <v>31</v>
      </c>
      <c r="G12" s="9"/>
      <c r="H12" s="11"/>
      <c r="I12" s="27"/>
    </row>
    <row r="13" s="2" customFormat="1" ht="19" customHeight="1" spans="1:9">
      <c r="A13" s="12">
        <v>45630</v>
      </c>
      <c r="B13" s="13" t="s">
        <v>22</v>
      </c>
      <c r="C13" s="14">
        <v>1870903.76</v>
      </c>
      <c r="D13" s="14"/>
      <c r="E13" s="14"/>
      <c r="F13" s="14"/>
      <c r="G13" s="15"/>
      <c r="H13" s="16"/>
      <c r="I13" s="27"/>
    </row>
    <row r="14" s="1" customFormat="1" ht="50" customHeight="1" spans="1:13">
      <c r="A14" s="17">
        <v>45632</v>
      </c>
      <c r="B14" s="18" t="s">
        <v>20</v>
      </c>
      <c r="C14" s="19"/>
      <c r="D14" s="19">
        <f>90502.58+279558.09+5092.11+4119.55+15662.02+5219.55+1770000</f>
        <v>2170153.9</v>
      </c>
      <c r="E14" s="19">
        <f>E12+D14-C13</f>
        <v>4501562.39</v>
      </c>
      <c r="F14" s="19">
        <v>31</v>
      </c>
      <c r="G14" s="20">
        <f>E14*0.04/365*F14</f>
        <v>15292.9790783562</v>
      </c>
      <c r="H14" s="21" t="s">
        <v>23</v>
      </c>
      <c r="I14" s="21" t="s">
        <v>24</v>
      </c>
      <c r="J14" s="1"/>
      <c r="M14" s="24"/>
    </row>
    <row r="15" s="1" customFormat="1" ht="31" customHeight="1" spans="1:9">
      <c r="A15" s="12">
        <v>45661</v>
      </c>
      <c r="B15" s="13" t="s">
        <v>22</v>
      </c>
      <c r="C15" s="14">
        <v>1585272.92</v>
      </c>
      <c r="D15" s="14"/>
      <c r="E15" s="14"/>
      <c r="F15" s="14"/>
      <c r="G15" s="15"/>
      <c r="H15" s="14"/>
      <c r="I15" s="14"/>
    </row>
    <row r="16" s="1" customFormat="1" ht="45" customHeight="1" spans="1:9">
      <c r="A16" s="22">
        <v>45661</v>
      </c>
      <c r="B16" s="7" t="s">
        <v>20</v>
      </c>
      <c r="C16" s="8"/>
      <c r="D16" s="8">
        <f>209714.62+5092.21+4162.61+17562.26+5319.55+1270000</f>
        <v>1511851.25</v>
      </c>
      <c r="E16" s="8">
        <f t="shared" ref="E16:E20" si="2">E14+D16-C15</f>
        <v>4428140.72</v>
      </c>
      <c r="F16" s="8">
        <v>28</v>
      </c>
      <c r="G16" s="9">
        <f>E16*K2/365*F16</f>
        <v>13587.719469589</v>
      </c>
      <c r="H16" s="19" t="s">
        <v>25</v>
      </c>
      <c r="I16" s="27"/>
    </row>
    <row r="17" s="1" customFormat="1" ht="19" customHeight="1" spans="1:9">
      <c r="A17" s="12">
        <v>45692</v>
      </c>
      <c r="B17" s="13" t="s">
        <v>22</v>
      </c>
      <c r="C17" s="14">
        <v>1543827.11</v>
      </c>
      <c r="D17" s="14"/>
      <c r="E17" s="14"/>
      <c r="F17" s="14"/>
      <c r="G17" s="15"/>
      <c r="H17" s="14"/>
      <c r="I17" s="14"/>
    </row>
    <row r="18" s="1" customFormat="1" ht="19" customHeight="1" spans="1:9">
      <c r="A18" s="22">
        <v>45692</v>
      </c>
      <c r="B18" s="7" t="s">
        <v>20</v>
      </c>
      <c r="C18" s="8"/>
      <c r="D18" s="8">
        <f>37116.11+41300+12829.1+4162.61+22003.74+2180+1540000</f>
        <v>1659591.56</v>
      </c>
      <c r="E18" s="8">
        <f t="shared" si="2"/>
        <v>4543905.17</v>
      </c>
      <c r="F18" s="8">
        <v>31</v>
      </c>
      <c r="G18" s="9">
        <f>E18*K2/365*F18</f>
        <v>15436.8285227397</v>
      </c>
      <c r="H18" s="19" t="s">
        <v>26</v>
      </c>
      <c r="I18" s="8"/>
    </row>
    <row r="19" s="1" customFormat="1" ht="19" customHeight="1" spans="1:9">
      <c r="A19" s="12">
        <v>45717</v>
      </c>
      <c r="B19" s="13" t="s">
        <v>22</v>
      </c>
      <c r="C19" s="8">
        <v>1577371.68</v>
      </c>
      <c r="D19" s="8"/>
      <c r="E19" s="8"/>
      <c r="F19" s="8"/>
      <c r="G19" s="9"/>
      <c r="H19" s="8"/>
      <c r="I19" s="8"/>
    </row>
    <row r="20" s="1" customFormat="1" ht="19" customHeight="1" spans="1:9">
      <c r="A20" s="12">
        <v>45717</v>
      </c>
      <c r="B20" s="7" t="s">
        <v>20</v>
      </c>
      <c r="C20" s="8"/>
      <c r="D20" s="8">
        <f>368672.7+14068.56+1720000</f>
        <v>2102741.26</v>
      </c>
      <c r="E20" s="8">
        <f t="shared" si="2"/>
        <v>5069274.75</v>
      </c>
      <c r="F20" s="8">
        <v>30</v>
      </c>
      <c r="G20" s="9">
        <f>E20*K2/365*F20</f>
        <v>16666.1087671233</v>
      </c>
      <c r="H20" s="19" t="s">
        <v>27</v>
      </c>
      <c r="I20" s="8"/>
    </row>
    <row r="21" s="1" customFormat="1" ht="19" customHeight="1" spans="1:9">
      <c r="A21" s="22">
        <v>45748</v>
      </c>
      <c r="B21" s="13" t="s">
        <v>22</v>
      </c>
      <c r="C21" s="8">
        <v>1615181.49</v>
      </c>
      <c r="D21" s="8"/>
      <c r="E21" s="8"/>
      <c r="F21" s="8"/>
      <c r="G21" s="9"/>
      <c r="H21" s="8"/>
      <c r="I21" s="8"/>
    </row>
    <row r="22" s="1" customFormat="1" ht="19" customHeight="1" spans="1:9">
      <c r="A22" s="22">
        <v>45748</v>
      </c>
      <c r="B22" s="7" t="s">
        <v>20</v>
      </c>
      <c r="C22" s="8"/>
      <c r="D22" s="8">
        <f>47014.79+4871.35+1740000-140000</f>
        <v>1651886.14</v>
      </c>
      <c r="E22" s="8">
        <f t="shared" ref="E22:E26" si="3">E20+D22-C21</f>
        <v>5105979.4</v>
      </c>
      <c r="F22" s="8">
        <v>31</v>
      </c>
      <c r="G22" s="9">
        <f>E22*K2/365*F22</f>
        <v>17346.3409753425</v>
      </c>
      <c r="H22" s="19" t="s">
        <v>28</v>
      </c>
      <c r="I22" s="8"/>
    </row>
    <row r="23" s="1" customFormat="1" ht="19" customHeight="1" spans="1:9">
      <c r="A23" s="22">
        <v>45778</v>
      </c>
      <c r="B23" s="13" t="s">
        <v>22</v>
      </c>
      <c r="C23" s="8">
        <v>2338344.34</v>
      </c>
      <c r="D23" s="8"/>
      <c r="E23" s="8"/>
      <c r="F23" s="8"/>
      <c r="G23" s="9"/>
      <c r="H23" s="8"/>
      <c r="I23" s="8"/>
    </row>
    <row r="24" s="1" customFormat="1" ht="19" customHeight="1" spans="1:9">
      <c r="A24" s="22">
        <v>45778</v>
      </c>
      <c r="B24" s="7" t="s">
        <v>20</v>
      </c>
      <c r="C24" s="8"/>
      <c r="D24" s="8">
        <f>100000+97170.66+12836.78+2000000-100000</f>
        <v>2110007.44</v>
      </c>
      <c r="E24" s="8">
        <f t="shared" si="3"/>
        <v>4877642.5</v>
      </c>
      <c r="F24" s="8">
        <v>30</v>
      </c>
      <c r="G24" s="9">
        <f>E24*K2/365*F24</f>
        <v>16036.0849315068</v>
      </c>
      <c r="H24" s="19" t="s">
        <v>29</v>
      </c>
      <c r="I24" s="8"/>
    </row>
    <row r="25" s="1" customFormat="1" ht="19" customHeight="1" spans="1:9">
      <c r="A25" s="22">
        <v>45809</v>
      </c>
      <c r="B25" s="13" t="s">
        <v>22</v>
      </c>
      <c r="C25" s="8">
        <v>2206160.13</v>
      </c>
      <c r="D25" s="8"/>
      <c r="E25" s="8"/>
      <c r="F25" s="8"/>
      <c r="G25" s="9"/>
      <c r="H25" s="8"/>
      <c r="I25" s="8"/>
    </row>
    <row r="26" s="1" customFormat="1" ht="19" customHeight="1" spans="1:9">
      <c r="A26" s="22">
        <v>45809</v>
      </c>
      <c r="B26" s="7" t="s">
        <v>20</v>
      </c>
      <c r="C26" s="8"/>
      <c r="D26" s="8">
        <f>31429.9+800+2390000-73236.18</f>
        <v>2348993.72</v>
      </c>
      <c r="E26" s="8">
        <f t="shared" si="3"/>
        <v>5020476.09</v>
      </c>
      <c r="F26" s="8">
        <v>31</v>
      </c>
      <c r="G26" s="9">
        <f>E26*K2/365*F26</f>
        <v>17055.8639769863</v>
      </c>
      <c r="H26" s="19" t="s">
        <v>30</v>
      </c>
      <c r="I26" s="8"/>
    </row>
    <row r="27" s="1" customFormat="1" ht="19" customHeight="1" spans="1:9">
      <c r="A27" s="22">
        <v>45839</v>
      </c>
      <c r="B27" s="13" t="s">
        <v>22</v>
      </c>
      <c r="C27" s="8">
        <v>2115225.57</v>
      </c>
      <c r="D27" s="8"/>
      <c r="E27" s="8"/>
      <c r="F27" s="8"/>
      <c r="G27" s="9"/>
      <c r="H27" s="8"/>
      <c r="I27" s="8"/>
    </row>
    <row r="28" s="1" customFormat="1" ht="19" customHeight="1" spans="1:9">
      <c r="A28" s="22">
        <v>45839</v>
      </c>
      <c r="B28" s="7" t="s">
        <v>20</v>
      </c>
      <c r="C28" s="8"/>
      <c r="D28" s="8">
        <f>63659.12+62791.29+2740000-21047.99</f>
        <v>2845402.42</v>
      </c>
      <c r="E28" s="8">
        <f t="shared" ref="E28:E32" si="4">E26+D28-C27</f>
        <v>5750652.94</v>
      </c>
      <c r="F28" s="8">
        <v>31</v>
      </c>
      <c r="G28" s="9">
        <f>E28*K2/365*F28</f>
        <v>19536.4647824658</v>
      </c>
      <c r="H28" s="19" t="s">
        <v>31</v>
      </c>
      <c r="I28" s="8"/>
    </row>
    <row r="29" s="1" customFormat="1" ht="19" customHeight="1" spans="1:9">
      <c r="A29" s="22">
        <v>45870</v>
      </c>
      <c r="B29" s="13" t="s">
        <v>22</v>
      </c>
      <c r="C29" s="8">
        <v>2663574.94</v>
      </c>
      <c r="D29" s="8"/>
      <c r="E29" s="8"/>
      <c r="F29" s="8"/>
      <c r="G29" s="9"/>
      <c r="H29" s="8"/>
      <c r="I29" s="8"/>
    </row>
    <row r="30" s="1" customFormat="1" ht="19" customHeight="1" spans="1:9">
      <c r="A30" s="22">
        <v>45870</v>
      </c>
      <c r="B30" s="7" t="s">
        <v>20</v>
      </c>
      <c r="C30" s="8"/>
      <c r="D30" s="8">
        <f>60778+57584.97+2820000</f>
        <v>2938362.97</v>
      </c>
      <c r="E30" s="8">
        <f t="shared" si="4"/>
        <v>6025440.97</v>
      </c>
      <c r="F30" s="8">
        <v>30</v>
      </c>
      <c r="G30" s="9">
        <f>E30*K2/365*F30</f>
        <v>19809.6689424658</v>
      </c>
      <c r="H30" s="19" t="s">
        <v>32</v>
      </c>
      <c r="I30" s="8"/>
    </row>
    <row r="31" s="1" customFormat="1" ht="19" customHeight="1" spans="1:9">
      <c r="A31" s="22">
        <v>45901</v>
      </c>
      <c r="B31" s="13" t="s">
        <v>22</v>
      </c>
      <c r="C31" s="8">
        <v>3601078.51</v>
      </c>
      <c r="D31" s="8"/>
      <c r="E31" s="8"/>
      <c r="F31" s="8"/>
      <c r="G31" s="9"/>
      <c r="H31" s="8"/>
      <c r="I31" s="8"/>
    </row>
    <row r="32" s="1" customFormat="1" ht="19" customHeight="1" spans="1:9">
      <c r="A32" s="22">
        <v>45901</v>
      </c>
      <c r="B32" s="7" t="s">
        <v>20</v>
      </c>
      <c r="C32" s="8"/>
      <c r="D32" s="8">
        <f>98495.2+73520.65+3238000</f>
        <v>3410015.85</v>
      </c>
      <c r="E32" s="8">
        <f t="shared" si="4"/>
        <v>5834378.31</v>
      </c>
      <c r="F32" s="8">
        <v>31</v>
      </c>
      <c r="G32" s="9">
        <f>E32*K2/365*F32</f>
        <v>19820.9016558904</v>
      </c>
      <c r="H32" s="19" t="s">
        <v>33</v>
      </c>
      <c r="I32" s="8"/>
    </row>
    <row r="33" s="1" customFormat="1" ht="19" customHeight="1" spans="1:9">
      <c r="A33" s="22">
        <v>45931</v>
      </c>
      <c r="B33" s="13" t="s">
        <v>22</v>
      </c>
      <c r="C33" s="8">
        <v>2132268.89</v>
      </c>
      <c r="D33" s="8"/>
      <c r="E33" s="8"/>
      <c r="F33" s="8"/>
      <c r="G33" s="9"/>
      <c r="H33" s="8"/>
      <c r="I33" s="8"/>
    </row>
    <row r="34" s="1" customFormat="1" ht="19" customHeight="1" spans="1:9">
      <c r="A34" s="22">
        <v>45931</v>
      </c>
      <c r="B34" s="7" t="s">
        <v>20</v>
      </c>
      <c r="C34" s="8"/>
      <c r="D34" s="8">
        <f>1125+75231.97+3020000</f>
        <v>3096356.97</v>
      </c>
      <c r="E34" s="8">
        <f>E32+D34-C33</f>
        <v>6798466.39</v>
      </c>
      <c r="F34" s="8">
        <v>30</v>
      </c>
      <c r="G34" s="9">
        <f>E34*K2/365*F34</f>
        <v>22351.1223780822</v>
      </c>
      <c r="H34" s="19" t="s">
        <v>34</v>
      </c>
      <c r="I34" s="8"/>
    </row>
    <row r="35" s="1" customFormat="1" ht="19" customHeight="1" spans="1:9">
      <c r="A35" s="22">
        <v>45962</v>
      </c>
      <c r="B35" s="13" t="s">
        <v>22</v>
      </c>
      <c r="C35" s="8">
        <v>3725333.94</v>
      </c>
      <c r="D35" s="8"/>
      <c r="E35" s="8"/>
      <c r="F35" s="8"/>
      <c r="G35" s="9"/>
      <c r="H35" s="8"/>
      <c r="I35" s="8"/>
    </row>
    <row r="36" s="1" customFormat="1" ht="19" customHeight="1" spans="1:9">
      <c r="A36" s="22">
        <v>45962</v>
      </c>
      <c r="B36" s="7" t="s">
        <v>20</v>
      </c>
      <c r="C36" s="8"/>
      <c r="D36" s="8">
        <f>66707.09+2870000</f>
        <v>2936707.09</v>
      </c>
      <c r="E36" s="8">
        <f>E34+D36-C35</f>
        <v>6009839.54</v>
      </c>
      <c r="F36" s="8">
        <v>31</v>
      </c>
      <c r="G36" s="9">
        <f>E36*K2/365*F36</f>
        <v>20416.9891221918</v>
      </c>
      <c r="H36" s="19" t="s">
        <v>35</v>
      </c>
      <c r="I36" s="8"/>
    </row>
    <row r="37" s="1" customFormat="1" ht="19" customHeight="1" spans="1:9">
      <c r="A37" s="22"/>
      <c r="B37" s="7"/>
      <c r="C37" s="8"/>
      <c r="D37" s="8"/>
      <c r="E37" s="8"/>
      <c r="F37" s="8"/>
      <c r="G37" s="9"/>
      <c r="H37" s="8"/>
      <c r="I37" s="8"/>
    </row>
    <row r="38" s="1" customFormat="1" ht="19" customHeight="1" spans="1:9">
      <c r="A38" s="22"/>
      <c r="B38" s="7"/>
      <c r="C38" s="8"/>
      <c r="D38" s="8"/>
      <c r="E38" s="8"/>
      <c r="F38" s="8"/>
      <c r="G38" s="9"/>
      <c r="H38" s="8"/>
      <c r="I38" s="8"/>
    </row>
    <row r="39" s="1" customFormat="1" ht="66" customHeight="1" spans="1:12">
      <c r="A39" s="7" t="s">
        <v>36</v>
      </c>
      <c r="B39" s="8"/>
      <c r="C39" s="8">
        <f>SUM(C3:C38)</f>
        <v>29436630.91</v>
      </c>
      <c r="D39" s="8">
        <f>SUM(D3:D38)</f>
        <v>35446470.45</v>
      </c>
      <c r="E39" s="8">
        <f>SUM(E3:E38)</f>
        <v>76055033.41</v>
      </c>
      <c r="F39" s="8"/>
      <c r="G39" s="9">
        <f>SUM(G3:G38)</f>
        <v>213357.07260274</v>
      </c>
      <c r="H39" s="23"/>
      <c r="I39" s="8"/>
      <c r="L39" s="28"/>
    </row>
    <row r="42" spans="7:7">
      <c r="G42" s="24"/>
    </row>
  </sheetData>
  <autoFilter xmlns:etc="http://www.wps.cn/officeDocument/2017/etCustomData" ref="A2:M36" etc:filterBottomFollowUsedRange="0">
    <extLst/>
  </autoFilter>
  <mergeCells count="3">
    <mergeCell ref="A1:K1"/>
    <mergeCell ref="H2:I2"/>
    <mergeCell ref="H3:H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2024-2025年结算管理费金额补差</vt:lpstr>
      <vt:lpstr>2025年利息金额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牛牛跟班</cp:lastModifiedBy>
  <dcterms:created xsi:type="dcterms:W3CDTF">2023-05-12T11:15:00Z</dcterms:created>
  <dcterms:modified xsi:type="dcterms:W3CDTF">2026-01-28T06:17:45Z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736E45D8757B416E8EA20B9D49C1B283_12</vt:lpwstr>
  </property>
  <property fmtid="{D5CDD505-2E9C-101B-9397-08002B2CF9AE}" pid="4" name="KSOReadingLayout">
    <vt:bool>true</vt:bool>
  </property>
</Properties>
</file>